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65" windowWidth="20730" windowHeight="9495" tabRatio="589"/>
  </bookViews>
  <sheets>
    <sheet name="Elevadora" sheetId="1" r:id="rId1"/>
    <sheet name="Corredera" sheetId="16" r:id="rId2"/>
    <sheet name="Colores" sheetId="2" state="hidden" r:id="rId3"/>
    <sheet name="Descripciones" sheetId="3" state="hidden" r:id="rId4"/>
  </sheets>
  <definedNames>
    <definedName name="ESQUEMA_A" localSheetId="1">Corredera!$P$55</definedName>
    <definedName name="ESQUEMA_A">Elevadora!$P$54</definedName>
    <definedName name="ESQUEMA_C" localSheetId="1">Corredera!$P$56</definedName>
    <definedName name="ESQUEMA_C">Elevadora!$P$55</definedName>
    <definedName name="ESQUEMA_D" localSheetId="1">Corredera!$P$58</definedName>
    <definedName name="ESQUEMA_D">Elevadora!$P$57</definedName>
    <definedName name="ESQUEMA_F" localSheetId="1">Corredera!$P$57</definedName>
    <definedName name="ESQUEMA_F">Elevadora!$P$56</definedName>
    <definedName name="ESQUEMA_H" localSheetId="1">Corredera!$P$60</definedName>
    <definedName name="ESQUEMA_H">Elevadora!$P$59</definedName>
    <definedName name="ESQUEMA_J" localSheetId="1">Corredera!$P$63</definedName>
    <definedName name="ESQUEMA_J">Elevadora!$P$62</definedName>
    <definedName name="ESQUEMA_K" localSheetId="1">Corredera!$P$61</definedName>
    <definedName name="ESQUEMA_K">Elevadora!$P$60</definedName>
    <definedName name="ESQUEMA_L" localSheetId="1">Corredera!$P$59</definedName>
    <definedName name="ESQUEMA_L">Elevadora!$P$58</definedName>
    <definedName name="ESQUEMA_M" localSheetId="1">Corredera!$P$62</definedName>
    <definedName name="ESQUEMA_M">Elevadora!$P$61</definedName>
    <definedName name="FH" localSheetId="1">Corredera!$D$6</definedName>
    <definedName name="FH">Elevadora!$D$6</definedName>
    <definedName name="FW" localSheetId="1">Corredera!$D$5</definedName>
    <definedName name="FW">Elevadora!$D$5</definedName>
    <definedName name="SH" localSheetId="1">Corredera!$D$19</definedName>
    <definedName name="SH">Elevadora!$D$18</definedName>
    <definedName name="SW" localSheetId="1">Corredera!$D$18</definedName>
    <definedName name="SW">Elevadora!$D$17</definedName>
  </definedNames>
  <calcPr calcId="145621"/>
</workbook>
</file>

<file path=xl/calcChain.xml><?xml version="1.0" encoding="utf-8"?>
<calcChain xmlns="http://schemas.openxmlformats.org/spreadsheetml/2006/main">
  <c r="C69" i="16" l="1"/>
  <c r="C68" i="16"/>
  <c r="C67" i="16"/>
  <c r="C66" i="16"/>
  <c r="C65" i="16"/>
  <c r="C64" i="16"/>
  <c r="C63" i="16"/>
  <c r="C62" i="16"/>
  <c r="C61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71" i="1"/>
  <c r="C70" i="1"/>
  <c r="C69" i="1"/>
  <c r="C68" i="1"/>
  <c r="C67" i="1"/>
  <c r="C66" i="1"/>
  <c r="C65" i="1"/>
  <c r="C64" i="1"/>
  <c r="C63" i="1"/>
  <c r="C62" i="1"/>
  <c r="C61" i="1"/>
  <c r="C60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F69" i="16" l="1"/>
  <c r="B69" i="16"/>
  <c r="D69" i="16" s="1"/>
  <c r="B67" i="16"/>
  <c r="D67" i="16" s="1"/>
  <c r="Q88" i="16"/>
  <c r="Q87" i="16"/>
  <c r="Q86" i="16"/>
  <c r="Q85" i="16"/>
  <c r="D63" i="16"/>
  <c r="D64" i="16"/>
  <c r="D65" i="16"/>
  <c r="D66" i="16"/>
  <c r="D68" i="16"/>
  <c r="D61" i="16"/>
  <c r="F68" i="16"/>
  <c r="F67" i="16"/>
  <c r="F66" i="16"/>
  <c r="F65" i="16"/>
  <c r="F62" i="16"/>
  <c r="F61" i="16"/>
  <c r="F64" i="16" s="1"/>
  <c r="B62" i="16"/>
  <c r="D62" i="16" s="1"/>
  <c r="W63" i="16"/>
  <c r="Y62" i="16"/>
  <c r="W62" i="16"/>
  <c r="Y61" i="16"/>
  <c r="W61" i="16"/>
  <c r="W60" i="16"/>
  <c r="C60" i="16"/>
  <c r="Y59" i="16"/>
  <c r="W59" i="16"/>
  <c r="C59" i="16"/>
  <c r="W58" i="16"/>
  <c r="B58" i="16"/>
  <c r="C58" i="16" s="1"/>
  <c r="W57" i="16"/>
  <c r="G25" i="16" s="1"/>
  <c r="B57" i="16"/>
  <c r="Y56" i="16"/>
  <c r="W56" i="16"/>
  <c r="B56" i="16"/>
  <c r="Y55" i="16"/>
  <c r="W55" i="16"/>
  <c r="D55" i="16"/>
  <c r="B54" i="16"/>
  <c r="B53" i="16"/>
  <c r="D52" i="16"/>
  <c r="D51" i="16"/>
  <c r="B48" i="16"/>
  <c r="A48" i="16"/>
  <c r="D48" i="16" s="1"/>
  <c r="B47" i="16"/>
  <c r="A47" i="16"/>
  <c r="D47" i="16" s="1"/>
  <c r="D45" i="16"/>
  <c r="B45" i="16"/>
  <c r="D44" i="16"/>
  <c r="B44" i="16"/>
  <c r="D43" i="16"/>
  <c r="B43" i="16"/>
  <c r="D42" i="16"/>
  <c r="B42" i="16"/>
  <c r="D41" i="16"/>
  <c r="B41" i="16"/>
  <c r="D40" i="16"/>
  <c r="B40" i="16"/>
  <c r="D39" i="16"/>
  <c r="B39" i="16"/>
  <c r="D38" i="16"/>
  <c r="B38" i="16"/>
  <c r="D36" i="16"/>
  <c r="B34" i="16"/>
  <c r="C34" i="16" s="1"/>
  <c r="D34" i="16" s="1"/>
  <c r="G33" i="16"/>
  <c r="C33" i="16"/>
  <c r="D33" i="16" s="1"/>
  <c r="G32" i="16"/>
  <c r="C32" i="16"/>
  <c r="D32" i="16" s="1"/>
  <c r="C31" i="16"/>
  <c r="D31" i="16" s="1"/>
  <c r="C30" i="16"/>
  <c r="D30" i="16" s="1"/>
  <c r="B29" i="16"/>
  <c r="C29" i="16" s="1"/>
  <c r="D29" i="16" s="1"/>
  <c r="C28" i="16"/>
  <c r="D28" i="16" s="1"/>
  <c r="B28" i="16"/>
  <c r="B27" i="16"/>
  <c r="F27" i="16" s="1"/>
  <c r="B26" i="16"/>
  <c r="G26" i="16" s="1"/>
  <c r="F25" i="16"/>
  <c r="C25" i="16"/>
  <c r="D25" i="16" s="1"/>
  <c r="G24" i="16"/>
  <c r="G23" i="16"/>
  <c r="G22" i="16"/>
  <c r="D19" i="16"/>
  <c r="B61" i="16" s="1"/>
  <c r="D7" i="16"/>
  <c r="D57" i="16" s="1"/>
  <c r="B70" i="1"/>
  <c r="B71" i="1"/>
  <c r="D71" i="1" s="1"/>
  <c r="D61" i="1"/>
  <c r="D62" i="1"/>
  <c r="D63" i="1"/>
  <c r="D64" i="1"/>
  <c r="D65" i="1"/>
  <c r="D66" i="1"/>
  <c r="D67" i="1"/>
  <c r="D60" i="1"/>
  <c r="D51" i="1"/>
  <c r="D50" i="1"/>
  <c r="D37" i="1"/>
  <c r="D38" i="1"/>
  <c r="D39" i="1"/>
  <c r="D40" i="1"/>
  <c r="D41" i="1"/>
  <c r="D42" i="1"/>
  <c r="D43" i="1"/>
  <c r="D44" i="1"/>
  <c r="D54" i="1"/>
  <c r="D29" i="1"/>
  <c r="D30" i="1"/>
  <c r="D31" i="1"/>
  <c r="D32" i="1"/>
  <c r="D24" i="1"/>
  <c r="F71" i="1"/>
  <c r="F70" i="1"/>
  <c r="Y61" i="1"/>
  <c r="G32" i="1"/>
  <c r="B26" i="1"/>
  <c r="C26" i="1" s="1"/>
  <c r="D26" i="1" s="1"/>
  <c r="A46" i="1"/>
  <c r="B46" i="1" s="1"/>
  <c r="B25" i="1"/>
  <c r="F25" i="1" s="1"/>
  <c r="F24" i="1"/>
  <c r="Y60" i="1"/>
  <c r="Y58" i="1"/>
  <c r="Y55" i="1"/>
  <c r="Y54" i="1"/>
  <c r="W62" i="1"/>
  <c r="W61" i="1"/>
  <c r="W60" i="1"/>
  <c r="W59" i="1"/>
  <c r="W58" i="1"/>
  <c r="W57" i="1"/>
  <c r="W56" i="1"/>
  <c r="W55" i="1"/>
  <c r="W54" i="1"/>
  <c r="A37" i="16" l="1"/>
  <c r="F63" i="16"/>
  <c r="C16" i="16"/>
  <c r="C26" i="16"/>
  <c r="D26" i="16" s="1"/>
  <c r="F33" i="16"/>
  <c r="F36" i="16"/>
  <c r="F26" i="16"/>
  <c r="F28" i="16"/>
  <c r="G27" i="16"/>
  <c r="F44" i="16"/>
  <c r="F45" i="16"/>
  <c r="D53" i="16"/>
  <c r="D54" i="16"/>
  <c r="E57" i="16"/>
  <c r="F58" i="16"/>
  <c r="D18" i="16"/>
  <c r="G54" i="16" s="1"/>
  <c r="C27" i="16"/>
  <c r="D27" i="16" s="1"/>
  <c r="F29" i="16"/>
  <c r="F30" i="16"/>
  <c r="F31" i="16"/>
  <c r="F34" i="16"/>
  <c r="F48" i="16" s="1"/>
  <c r="B36" i="16"/>
  <c r="F38" i="16"/>
  <c r="F39" i="16"/>
  <c r="F40" i="16"/>
  <c r="F41" i="16"/>
  <c r="F42" i="16"/>
  <c r="A46" i="16"/>
  <c r="F59" i="16"/>
  <c r="F60" i="16"/>
  <c r="G29" i="16"/>
  <c r="G30" i="16"/>
  <c r="G31" i="16"/>
  <c r="G34" i="16"/>
  <c r="A49" i="16"/>
  <c r="G51" i="16"/>
  <c r="D56" i="16"/>
  <c r="H58" i="16"/>
  <c r="B22" i="16"/>
  <c r="C22" i="16" s="1"/>
  <c r="D22" i="16" s="1"/>
  <c r="B23" i="16"/>
  <c r="C23" i="16" s="1"/>
  <c r="D23" i="16" s="1"/>
  <c r="B24" i="16"/>
  <c r="C24" i="16" s="1"/>
  <c r="D24" i="16" s="1"/>
  <c r="B35" i="16"/>
  <c r="A50" i="16"/>
  <c r="D46" i="1"/>
  <c r="D70" i="1"/>
  <c r="G26" i="1"/>
  <c r="F26" i="1"/>
  <c r="G24" i="1"/>
  <c r="F60" i="1"/>
  <c r="E56" i="16" l="1"/>
  <c r="G58" i="16"/>
  <c r="G52" i="16"/>
  <c r="G28" i="16"/>
  <c r="D50" i="16"/>
  <c r="B50" i="16"/>
  <c r="B49" i="16"/>
  <c r="D49" i="16"/>
  <c r="G53" i="16"/>
  <c r="B37" i="16"/>
  <c r="F37" i="16"/>
  <c r="D37" i="16"/>
  <c r="G35" i="16"/>
  <c r="F35" i="16"/>
  <c r="C35" i="16"/>
  <c r="D35" i="16" s="1"/>
  <c r="B46" i="16"/>
  <c r="D46" i="16"/>
  <c r="B52" i="1"/>
  <c r="D52" i="1" s="1"/>
  <c r="B53" i="1"/>
  <c r="D53" i="1" s="1"/>
  <c r="B28" i="1"/>
  <c r="B27" i="1"/>
  <c r="B40" i="1"/>
  <c r="A47" i="1"/>
  <c r="F49" i="16" l="1"/>
  <c r="F50" i="16"/>
  <c r="B47" i="1"/>
  <c r="D47" i="1"/>
  <c r="B33" i="1"/>
  <c r="C32" i="1"/>
  <c r="G31" i="1"/>
  <c r="C31" i="1"/>
  <c r="D18" i="1"/>
  <c r="C24" i="1"/>
  <c r="G22" i="1"/>
  <c r="G21" i="1"/>
  <c r="G33" i="1" l="1"/>
  <c r="B68" i="1" l="1"/>
  <c r="B69" i="1"/>
  <c r="F69" i="1"/>
  <c r="F66" i="1"/>
  <c r="F65" i="1"/>
  <c r="F64" i="1"/>
  <c r="F63" i="1"/>
  <c r="F61" i="1"/>
  <c r="F62" i="1"/>
  <c r="D7" i="1"/>
  <c r="B22" i="1" s="1"/>
  <c r="B23" i="1" l="1"/>
  <c r="C23" i="1" s="1"/>
  <c r="D23" i="1" s="1"/>
  <c r="C22" i="1"/>
  <c r="D22" i="1" s="1"/>
  <c r="F32" i="1"/>
  <c r="B21" i="1"/>
  <c r="C21" i="1" s="1"/>
  <c r="D21" i="1" s="1"/>
  <c r="D68" i="1"/>
  <c r="D69" i="1"/>
  <c r="A49" i="1"/>
  <c r="D49" i="1" s="1"/>
  <c r="G50" i="1"/>
  <c r="A45" i="1"/>
  <c r="D45" i="1" s="1"/>
  <c r="B34" i="1"/>
  <c r="F33" i="1"/>
  <c r="F47" i="1" s="1"/>
  <c r="G25" i="1"/>
  <c r="D17" i="1"/>
  <c r="G51" i="1" s="1"/>
  <c r="G27" i="1" l="1"/>
  <c r="G52" i="1"/>
  <c r="G53" i="1"/>
  <c r="C25" i="1"/>
  <c r="D25" i="1" s="1"/>
  <c r="C27" i="1" l="1"/>
  <c r="D27" i="1" s="1"/>
  <c r="C28" i="1"/>
  <c r="D28" i="1" s="1"/>
  <c r="C29" i="1"/>
  <c r="C30" i="1"/>
  <c r="C59" i="1"/>
  <c r="F57" i="1"/>
  <c r="B57" i="1"/>
  <c r="C57" i="1" s="1"/>
  <c r="C58" i="1"/>
  <c r="A48" i="1" l="1"/>
  <c r="D48" i="1" s="1"/>
  <c r="B56" i="1" l="1"/>
  <c r="B55" i="1"/>
  <c r="F58" i="1"/>
  <c r="F59" i="1"/>
  <c r="D56" i="1"/>
  <c r="D55" i="1"/>
  <c r="B49" i="1"/>
  <c r="B48" i="1"/>
  <c r="B45" i="1"/>
  <c r="F41" i="1"/>
  <c r="B44" i="1"/>
  <c r="F43" i="1"/>
  <c r="B43" i="1"/>
  <c r="F40" i="1"/>
  <c r="F39" i="1"/>
  <c r="F38" i="1"/>
  <c r="F37" i="1"/>
  <c r="F35" i="1"/>
  <c r="A35" i="1"/>
  <c r="C34" i="1"/>
  <c r="D34" i="1" s="1"/>
  <c r="A36" i="1" l="1"/>
  <c r="B36" i="1" s="1"/>
  <c r="D35" i="1"/>
  <c r="F48" i="1"/>
  <c r="B35" i="1"/>
  <c r="F34" i="1"/>
  <c r="F30" i="1"/>
  <c r="F29" i="1"/>
  <c r="F28" i="1"/>
  <c r="F27" i="1"/>
  <c r="G23" i="1"/>
  <c r="C15" i="1"/>
  <c r="B37" i="1"/>
  <c r="B38" i="1"/>
  <c r="B39" i="1"/>
  <c r="B41" i="1"/>
  <c r="B42" i="1"/>
  <c r="C33" i="1"/>
  <c r="D33" i="1" s="1"/>
  <c r="D36" i="1" l="1"/>
  <c r="F36" i="1"/>
  <c r="F68" i="1"/>
  <c r="F67" i="1"/>
  <c r="G57" i="1"/>
  <c r="F44" i="1"/>
  <c r="H57" i="1"/>
  <c r="E56" i="1"/>
  <c r="E55" i="1"/>
  <c r="F49" i="1"/>
  <c r="G34" i="1"/>
  <c r="G28" i="1"/>
  <c r="G29" i="1"/>
  <c r="G30" i="1"/>
</calcChain>
</file>

<file path=xl/sharedStrings.xml><?xml version="1.0" encoding="utf-8"?>
<sst xmlns="http://schemas.openxmlformats.org/spreadsheetml/2006/main" count="502" uniqueCount="260">
  <si>
    <t>Ancho W</t>
  </si>
  <si>
    <t>Alto H</t>
  </si>
  <si>
    <t>BOR05</t>
  </si>
  <si>
    <t>BOR06</t>
  </si>
  <si>
    <t>BOR03</t>
  </si>
  <si>
    <t>BOR04</t>
  </si>
  <si>
    <t>BOR02</t>
  </si>
  <si>
    <t>Ancho hoja (SW)</t>
  </si>
  <si>
    <t>Alto Hoja(SH)</t>
  </si>
  <si>
    <t>FIT01</t>
  </si>
  <si>
    <t>Hojas</t>
  </si>
  <si>
    <t>Cantidad</t>
  </si>
  <si>
    <t>Longitud</t>
  </si>
  <si>
    <t>Blanco</t>
  </si>
  <si>
    <t>Negro</t>
  </si>
  <si>
    <t>GUI59016</t>
  </si>
  <si>
    <t>GUI59012</t>
  </si>
  <si>
    <t>GUI58016</t>
  </si>
  <si>
    <t>GUI58012</t>
  </si>
  <si>
    <t>VDS10</t>
  </si>
  <si>
    <t>VDS10016</t>
  </si>
  <si>
    <t>VDS10012</t>
  </si>
  <si>
    <t>CNA06</t>
  </si>
  <si>
    <t>CNA06012</t>
  </si>
  <si>
    <t>GUI62012</t>
  </si>
  <si>
    <t>GUI63016</t>
  </si>
  <si>
    <t>GUI63012</t>
  </si>
  <si>
    <t>VDD01</t>
  </si>
  <si>
    <t>VDD01012</t>
  </si>
  <si>
    <t>TDD01</t>
  </si>
  <si>
    <t>1779I</t>
  </si>
  <si>
    <t>GUI65</t>
  </si>
  <si>
    <t>GUI65012</t>
  </si>
  <si>
    <t>ADP01A006</t>
  </si>
  <si>
    <t>VDS15</t>
  </si>
  <si>
    <t>Refuerzo</t>
  </si>
  <si>
    <t>Si</t>
  </si>
  <si>
    <t>No</t>
  </si>
  <si>
    <t>Mano</t>
  </si>
  <si>
    <t>Derecha</t>
  </si>
  <si>
    <t>Izquierda</t>
  </si>
  <si>
    <t>GUI62</t>
  </si>
  <si>
    <t>GUI63</t>
  </si>
  <si>
    <t>GUI59</t>
  </si>
  <si>
    <t>GUI58</t>
  </si>
  <si>
    <t>Vidrio</t>
  </si>
  <si>
    <t>Nº hojas</t>
  </si>
  <si>
    <t>Variable corte</t>
  </si>
  <si>
    <t xml:space="preserve"> nº cruces</t>
  </si>
  <si>
    <t>refuerzo</t>
  </si>
  <si>
    <t>PERFILES</t>
  </si>
  <si>
    <t>ACCESORIOS</t>
  </si>
  <si>
    <t>GOMAS</t>
  </si>
  <si>
    <t>BOR06 SH</t>
  </si>
  <si>
    <t>BOR03/04/02 SW</t>
  </si>
  <si>
    <t>BOR03/04/02 SH</t>
  </si>
  <si>
    <t>VIDRIO</t>
  </si>
  <si>
    <t>GUI70</t>
  </si>
  <si>
    <t>GUI70016</t>
  </si>
  <si>
    <t>GUI70012</t>
  </si>
  <si>
    <t>DESPIECE</t>
  </si>
  <si>
    <t>BOR05 W</t>
  </si>
  <si>
    <t>BOR05 H</t>
  </si>
  <si>
    <t>ESQUEMA A</t>
  </si>
  <si>
    <t>ESQUEMA D</t>
  </si>
  <si>
    <t>Color Accesorios</t>
  </si>
  <si>
    <t>Color Herraje</t>
  </si>
  <si>
    <t>Negra R06.2</t>
  </si>
  <si>
    <t>Blanca R07.2</t>
  </si>
  <si>
    <t>Titan R01.3</t>
  </si>
  <si>
    <t>Esquema</t>
  </si>
  <si>
    <t>ESQUEMA C</t>
  </si>
  <si>
    <t>ESQUEMA F</t>
  </si>
  <si>
    <t>ESQUEMA H</t>
  </si>
  <si>
    <t>ESQUEMA K</t>
  </si>
  <si>
    <t>ESQUEMA J</t>
  </si>
  <si>
    <t>RODA 783171 / TOPE 7383171</t>
  </si>
  <si>
    <t>nº CREMONAS / ANGULOS</t>
  </si>
  <si>
    <t>Cerraderos y ganchos</t>
  </si>
  <si>
    <t>nº hojas</t>
  </si>
  <si>
    <t>Tope  317250/335555</t>
  </si>
  <si>
    <t>HERRAJE</t>
  </si>
  <si>
    <t>Titan</t>
  </si>
  <si>
    <t>Manilla</t>
  </si>
  <si>
    <t>Cremonas</t>
  </si>
  <si>
    <t>Separadores</t>
  </si>
  <si>
    <t>Cerraderos</t>
  </si>
  <si>
    <t>240-400</t>
  </si>
  <si>
    <t>401-600</t>
  </si>
  <si>
    <t>601-800</t>
  </si>
  <si>
    <t>801-1000</t>
  </si>
  <si>
    <t>1001-1200</t>
  </si>
  <si>
    <t>1201-1800</t>
  </si>
  <si>
    <t>1801-2900</t>
  </si>
  <si>
    <t>Rango</t>
  </si>
  <si>
    <t>TIPO MANILLA</t>
  </si>
  <si>
    <t>Manilla Patio S 30mm</t>
  </si>
  <si>
    <t>Manilla Pop up</t>
  </si>
  <si>
    <t>Manilla Rotoline</t>
  </si>
  <si>
    <t>Manilla Rotoline con llave</t>
  </si>
  <si>
    <t>Ref según color</t>
  </si>
  <si>
    <t>RUEDAS</t>
  </si>
  <si>
    <t>BTD16</t>
  </si>
  <si>
    <t>CONFIGURADOR</t>
  </si>
  <si>
    <r>
      <t xml:space="preserve">Rellene la informacion de estos campos para obterner el despiece.Segun las opciones elegidas se actualizara el despiece.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LTUnivers 330 BasicLight"/>
      </rPr>
      <t>Importante:</t>
    </r>
    <r>
      <rPr>
        <sz val="10"/>
        <color theme="1"/>
        <rFont val="LTUnivers 330 BasicLight"/>
        <family val="2"/>
      </rPr>
      <t>Para que el calculo de minimos y maximos sea correcto rellene las opciones en el orden indicado , empezando por Esquema.</t>
    </r>
  </si>
  <si>
    <t>Referencia</t>
  </si>
  <si>
    <t>Unidades</t>
  </si>
  <si>
    <t>MT-6539</t>
  </si>
  <si>
    <t>MT-6546</t>
  </si>
  <si>
    <t>MT-6542</t>
  </si>
  <si>
    <t>MT-6541</t>
  </si>
  <si>
    <t>MT-6551</t>
  </si>
  <si>
    <t>MT-6550</t>
  </si>
  <si>
    <t>MT-6544</t>
  </si>
  <si>
    <t>MT-6545</t>
  </si>
  <si>
    <t>ME97</t>
  </si>
  <si>
    <t>MT312</t>
  </si>
  <si>
    <t>MT-131</t>
  </si>
  <si>
    <t>MT1</t>
  </si>
  <si>
    <t>MT14</t>
  </si>
  <si>
    <t>mt14</t>
  </si>
  <si>
    <t>VDS20</t>
  </si>
  <si>
    <t>VDS19</t>
  </si>
  <si>
    <t>VDS21</t>
  </si>
  <si>
    <t>VDS22</t>
  </si>
  <si>
    <t>MB29</t>
  </si>
  <si>
    <t>SIMPLE 04</t>
  </si>
  <si>
    <t>SIMPLE 05</t>
  </si>
  <si>
    <t>SIMPLE 06</t>
  </si>
  <si>
    <t>SIMPLE 07</t>
  </si>
  <si>
    <t>SIMPLE 08</t>
  </si>
  <si>
    <t>DOBLE 20</t>
  </si>
  <si>
    <t>DOBLE 21</t>
  </si>
  <si>
    <t>DOBLE 22</t>
  </si>
  <si>
    <t>DOBLE 23</t>
  </si>
  <si>
    <t>DOBLE 24</t>
  </si>
  <si>
    <t>MB31</t>
  </si>
  <si>
    <t>MB30</t>
  </si>
  <si>
    <t>FIT02</t>
  </si>
  <si>
    <t>ESQUEMA L</t>
  </si>
  <si>
    <t>ESQUEMA M</t>
  </si>
  <si>
    <t>MT6541</t>
  </si>
  <si>
    <t>num piezasMT6541</t>
  </si>
  <si>
    <t>Nº pcs MT6541 3 carr</t>
  </si>
  <si>
    <t>MT6555</t>
  </si>
  <si>
    <t>Descripcion</t>
  </si>
  <si>
    <t>MT-6543</t>
  </si>
  <si>
    <t>PerfiI marco lateral 3 carriles</t>
  </si>
  <si>
    <t>Perfil marco lateral</t>
  </si>
  <si>
    <t>Perfil marco inferior</t>
  </si>
  <si>
    <t>Perfil marco superior</t>
  </si>
  <si>
    <t>MT-6540</t>
  </si>
  <si>
    <t>PerfiI marco inferior 3 carriles</t>
  </si>
  <si>
    <t>MT-6547</t>
  </si>
  <si>
    <t>Perfil marco superior 3 carriles</t>
  </si>
  <si>
    <t>MT-6548</t>
  </si>
  <si>
    <t>Perfil hoja DVH</t>
  </si>
  <si>
    <t>Perfil hoja Perimetral VS</t>
  </si>
  <si>
    <t>MT-6549</t>
  </si>
  <si>
    <t>MT-6552</t>
  </si>
  <si>
    <t>Perfil cierre marco lateral</t>
  </si>
  <si>
    <t>Perfil Refuerzo parante central</t>
  </si>
  <si>
    <t>MT-6553</t>
  </si>
  <si>
    <t>Perfil Encuentro central para 4 hojas</t>
  </si>
  <si>
    <t>Perfil guia de marco</t>
  </si>
  <si>
    <t>Perfil tapa</t>
  </si>
  <si>
    <t>Perfi tapa cruce de hojas</t>
  </si>
  <si>
    <t>Perfil cruce de hojas</t>
  </si>
  <si>
    <t>MT-6555</t>
  </si>
  <si>
    <t>Perfil guia marco para paño fijo</t>
  </si>
  <si>
    <t>MT-0415</t>
  </si>
  <si>
    <t>Tapa junta</t>
  </si>
  <si>
    <t>MT-6505</t>
  </si>
  <si>
    <t>Tope mosquitera 90º</t>
  </si>
  <si>
    <t>MT-6554</t>
  </si>
  <si>
    <t>Perfil guia de mosquitero</t>
  </si>
  <si>
    <t>MT-6151</t>
  </si>
  <si>
    <t>Hoja mosquitero super reforzado</t>
  </si>
  <si>
    <t>MT-6517</t>
  </si>
  <si>
    <t>Premarco</t>
  </si>
  <si>
    <t>MT-3202</t>
  </si>
  <si>
    <t>Tapa junta curvo</t>
  </si>
  <si>
    <t>Premarco 3 Guias</t>
  </si>
  <si>
    <t>MT-6516</t>
  </si>
  <si>
    <t>Conjunto tapa/guia Inf/Sup Derecha</t>
  </si>
  <si>
    <t>Conjunto tapa/guia Inf/Sup Izquierda</t>
  </si>
  <si>
    <t>Conjunto tapa/guia Inf/Sup</t>
  </si>
  <si>
    <t>Burlete de hermeticidad hoja</t>
  </si>
  <si>
    <t>Burlete cuña 2 mm</t>
  </si>
  <si>
    <t>Burlete cuña 3 mm</t>
  </si>
  <si>
    <t>Burlete cuña 4 mm</t>
  </si>
  <si>
    <t>Escuadra de alineamiento 90º</t>
  </si>
  <si>
    <t>Guia hoja</t>
  </si>
  <si>
    <t>Felpa 7 x 6 con lamina central</t>
  </si>
  <si>
    <t>Felpa cruce de hojas</t>
  </si>
  <si>
    <t>ISO 7049 3,5 x 13</t>
  </si>
  <si>
    <t>Escuadra de tracción</t>
  </si>
  <si>
    <t>Fijación perfil 4 hojas</t>
  </si>
  <si>
    <t>TBR01</t>
  </si>
  <si>
    <t>Tapa perfil refuerzo</t>
  </si>
  <si>
    <t>Tapon cruce de hojas</t>
  </si>
  <si>
    <t>Conjunto intermedio (4 hojas)</t>
  </si>
  <si>
    <t>Boca desagüe marco</t>
  </si>
  <si>
    <t>MT2</t>
  </si>
  <si>
    <t>Tornillo ISO 7049-0 4,8 x 45</t>
  </si>
  <si>
    <t>Chapeta de desagüe</t>
  </si>
  <si>
    <t>Junta lateral marco inferior</t>
  </si>
  <si>
    <t>Junta estanqueidad marco superior</t>
  </si>
  <si>
    <t>Junta estanqueidad marco inferior 3 carriles</t>
  </si>
  <si>
    <t>CFF08042</t>
  </si>
  <si>
    <t>Junta lateral marco superior 3 carriles</t>
  </si>
  <si>
    <t>Tope hoja fija</t>
  </si>
  <si>
    <t>Mecanismo manija</t>
  </si>
  <si>
    <t>Kit carros alzantes</t>
  </si>
  <si>
    <t>Kit tope hoja</t>
  </si>
  <si>
    <t>Reenvío de Ángulo</t>
  </si>
  <si>
    <t>Horquilla</t>
  </si>
  <si>
    <t>Escuadra distanciadora</t>
  </si>
  <si>
    <t>CFE58P022</t>
  </si>
  <si>
    <t>Cerradero Negro</t>
  </si>
  <si>
    <t>CFE58P021</t>
  </si>
  <si>
    <t>Cerradero Blanco</t>
  </si>
  <si>
    <t>Gancho</t>
  </si>
  <si>
    <t>Manija RotoLine Patio S 30mm BlancaR07,2</t>
  </si>
  <si>
    <t>Manija RotoLine Patio S 30mm Negra R06.2</t>
  </si>
  <si>
    <t>Manija RotoLine Patio S 30mm Titán R01.3</t>
  </si>
  <si>
    <t>Tope blanco R07.2</t>
  </si>
  <si>
    <t>Tope negro R06.2</t>
  </si>
  <si>
    <t>Cremona aguja acción simple 17 mm 240 – 400</t>
  </si>
  <si>
    <t>Cremona aguja acción simple 17 mm 401 – 600</t>
  </si>
  <si>
    <t>Cremona aguja acción simple 17 mm 601 – 800</t>
  </si>
  <si>
    <t>Cremona aguja acción simple 17 mm 801 – 1000</t>
  </si>
  <si>
    <t>Cremona aguja acción simple 17 mm 1001 – 1200</t>
  </si>
  <si>
    <t>Cremona aguja acción simple 17 mm 1201 – 1800</t>
  </si>
  <si>
    <t>Cremona aguja acción simple 17 mm 1801 – 2900</t>
  </si>
  <si>
    <t>Manija Patio S 30 mm,R 06.2 Negro</t>
  </si>
  <si>
    <t>Manija Patio S 30 mm,R 9016 Blanco</t>
  </si>
  <si>
    <t>Manija Patio S 30 mm,R 01.3 Titán</t>
  </si>
  <si>
    <t>Manija Rotoline 24 mm,R 06.2 Negro</t>
  </si>
  <si>
    <t>Manija Rotoline 24 mm,R 01.3 Titán</t>
  </si>
  <si>
    <t>Manija Rotoline 24 mm,R 07.2 Blanco</t>
  </si>
  <si>
    <t>Manija Pop-up, 8 mm,R 06.2 Negro</t>
  </si>
  <si>
    <t>Manija Pop-up, 8 mm,R 07.2 Blanco</t>
  </si>
  <si>
    <t>Manija Pop-up, 8 mm,R 01.3 Titán</t>
  </si>
  <si>
    <t>Manija Rotoline 30 mm con llave,R 06.2 Negro</t>
  </si>
  <si>
    <t>Manija Rotoline 30 mm con llave,R 07.2 Blanco</t>
  </si>
  <si>
    <t>Manija Rotoline 30 mm con llave,R 01.3 Titán</t>
  </si>
  <si>
    <t>carro corrediza 120 kg</t>
  </si>
  <si>
    <t>Calzos para carros</t>
  </si>
  <si>
    <t>carro corrediza 50 kg</t>
  </si>
  <si>
    <t>Tope hoja</t>
  </si>
  <si>
    <t>Piezas de tope 1 ud. (incluye pieza de goma) R 06.2 Negro</t>
  </si>
  <si>
    <t>Piezas de tope 1 ud. (incluye pieza de goma) R 07.2 Blanco traffic</t>
  </si>
  <si>
    <t>Cilindro 31 x 31</t>
  </si>
  <si>
    <t>Protector salida de agua</t>
  </si>
  <si>
    <t>Tornillo PARKER Nº10 X 3/4"</t>
  </si>
  <si>
    <t>Tapa refuerzo</t>
  </si>
  <si>
    <t>Tornillos SO 7049 3.5X13 A2(DIN 7981)</t>
  </si>
  <si>
    <t>TOPE BTD</t>
  </si>
  <si>
    <t>B35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</si>
</sst>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LTUnivers 330 BasicLight"/>
      <family val="2"/>
    </font>
    <font>
      <b/>
      <sz val="10"/>
      <color theme="1"/>
      <name val="LTUnivers 330 BasicLight"/>
    </font>
    <font>
      <sz val="10"/>
      <color theme="1"/>
      <name val="LTUnivers 330 BasicLight"/>
      <family val="2"/>
    </font>
    <font>
      <sz val="11"/>
      <color theme="1"/>
      <name val="Calibri"/>
      <family val="2"/>
      <scheme val="minor"/>
    </font>
    <font>
      <b/>
      <sz val="8"/>
      <color theme="1"/>
      <name val="LTUnivers 330 BasicLight"/>
    </font>
    <font>
      <b/>
      <sz val="7"/>
      <color theme="1"/>
      <name val="LTUnivers 330 BasicLight"/>
    </font>
    <font>
      <b/>
      <sz val="20"/>
      <color theme="1"/>
      <name val="LTUnivers 330 BasicLight"/>
    </font>
    <font>
      <sz val="10"/>
      <color theme="1"/>
      <name val="LTUnivers 330 BasicLight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8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7" borderId="0" xfId="0" applyFill="1"/>
    <xf numFmtId="49" fontId="0" fillId="7" borderId="0" xfId="0" applyNumberFormat="1" applyFill="1"/>
    <xf numFmtId="0" fontId="1" fillId="7" borderId="1" xfId="0" applyFont="1" applyFill="1" applyBorder="1"/>
    <xf numFmtId="0" fontId="1" fillId="7" borderId="0" xfId="0" applyFont="1" applyFill="1" applyBorder="1"/>
    <xf numFmtId="0" fontId="1" fillId="7" borderId="1" xfId="0" applyFont="1" applyFill="1" applyBorder="1" applyProtection="1">
      <protection locked="0" hidden="1"/>
    </xf>
    <xf numFmtId="0" fontId="1" fillId="7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7" borderId="7" xfId="0" applyFill="1" applyBorder="1"/>
    <xf numFmtId="0" fontId="0" fillId="7" borderId="2" xfId="0" applyFill="1" applyBorder="1"/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" fillId="7" borderId="2" xfId="0" applyFont="1" applyFill="1" applyBorder="1"/>
    <xf numFmtId="0" fontId="0" fillId="7" borderId="9" xfId="0" applyFill="1" applyBorder="1"/>
    <xf numFmtId="0" fontId="0" fillId="7" borderId="11" xfId="0" applyFill="1" applyBorder="1"/>
    <xf numFmtId="0" fontId="1" fillId="7" borderId="0" xfId="0" applyFont="1" applyFill="1" applyBorder="1" applyAlignment="1">
      <alignment horizontal="center"/>
    </xf>
    <xf numFmtId="0" fontId="1" fillId="7" borderId="19" xfId="0" applyFont="1" applyFill="1" applyBorder="1"/>
    <xf numFmtId="0" fontId="0" fillId="7" borderId="18" xfId="0" applyFill="1" applyBorder="1"/>
    <xf numFmtId="0" fontId="0" fillId="7" borderId="20" xfId="0" applyFill="1" applyBorder="1"/>
    <xf numFmtId="2" fontId="0" fillId="7" borderId="0" xfId="0" applyNumberFormat="1" applyFill="1" applyBorder="1"/>
    <xf numFmtId="0" fontId="0" fillId="7" borderId="12" xfId="0" applyFill="1" applyBorder="1"/>
    <xf numFmtId="0" fontId="1" fillId="7" borderId="7" xfId="0" applyFont="1" applyFill="1" applyBorder="1"/>
    <xf numFmtId="0" fontId="0" fillId="7" borderId="1" xfId="0" applyFill="1" applyBorder="1"/>
    <xf numFmtId="0" fontId="1" fillId="7" borderId="2" xfId="0" applyFont="1" applyFill="1" applyBorder="1" applyAlignment="1">
      <alignment horizontal="left"/>
    </xf>
    <xf numFmtId="2" fontId="0" fillId="7" borderId="1" xfId="0" applyNumberFormat="1" applyFill="1" applyBorder="1"/>
    <xf numFmtId="0" fontId="0" fillId="7" borderId="21" xfId="0" applyFill="1" applyBorder="1"/>
    <xf numFmtId="0" fontId="0" fillId="7" borderId="26" xfId="0" applyFill="1" applyBorder="1"/>
    <xf numFmtId="0" fontId="0" fillId="7" borderId="27" xfId="0" applyFill="1" applyBorder="1"/>
    <xf numFmtId="2" fontId="0" fillId="7" borderId="1" xfId="0" applyNumberFormat="1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7" borderId="34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33" xfId="0" applyFill="1" applyBorder="1"/>
    <xf numFmtId="0" fontId="1" fillId="2" borderId="2" xfId="0" applyFont="1" applyFill="1" applyBorder="1"/>
    <xf numFmtId="0" fontId="0" fillId="7" borderId="36" xfId="0" applyFill="1" applyBorder="1"/>
    <xf numFmtId="0" fontId="0" fillId="7" borderId="0" xfId="0" applyFill="1" applyBorder="1" applyAlignment="1"/>
    <xf numFmtId="0" fontId="0" fillId="7" borderId="36" xfId="0" applyFill="1" applyBorder="1" applyAlignment="1"/>
    <xf numFmtId="0" fontId="0" fillId="7" borderId="37" xfId="0" applyFill="1" applyBorder="1" applyAlignment="1"/>
    <xf numFmtId="0" fontId="1" fillId="2" borderId="14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5" fillId="6" borderId="24" xfId="0" applyFont="1" applyFill="1" applyBorder="1" applyAlignment="1">
      <alignment textRotation="255"/>
    </xf>
    <xf numFmtId="0" fontId="1" fillId="0" borderId="7" xfId="0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0" fontId="0" fillId="7" borderId="1" xfId="0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28" xfId="0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0" fillId="7" borderId="0" xfId="0" applyFill="1"/>
    <xf numFmtId="49" fontId="0" fillId="7" borderId="0" xfId="0" applyNumberFormat="1" applyFill="1"/>
    <xf numFmtId="0" fontId="0" fillId="7" borderId="1" xfId="0" applyFill="1" applyBorder="1" applyAlignment="1">
      <alignment horizontal="right"/>
    </xf>
    <xf numFmtId="0" fontId="0" fillId="7" borderId="1" xfId="0" applyFill="1" applyBorder="1"/>
    <xf numFmtId="0" fontId="0" fillId="0" borderId="1" xfId="0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7" xfId="0" applyFont="1" applyFill="1" applyBorder="1"/>
    <xf numFmtId="1" fontId="0" fillId="7" borderId="22" xfId="0" applyNumberFormat="1" applyFill="1" applyBorder="1"/>
    <xf numFmtId="0" fontId="0" fillId="7" borderId="22" xfId="0" applyFill="1" applyBorder="1"/>
    <xf numFmtId="1" fontId="0" fillId="7" borderId="1" xfId="0" applyNumberFormat="1" applyFill="1" applyBorder="1"/>
    <xf numFmtId="0" fontId="0" fillId="7" borderId="1" xfId="0" applyFill="1" applyBorder="1"/>
    <xf numFmtId="0" fontId="1" fillId="7" borderId="4" xfId="0" applyFont="1" applyFill="1" applyBorder="1"/>
    <xf numFmtId="1" fontId="0" fillId="7" borderId="5" xfId="0" applyNumberFormat="1" applyFill="1" applyBorder="1"/>
    <xf numFmtId="0" fontId="0" fillId="7" borderId="5" xfId="0" applyFill="1" applyBorder="1"/>
    <xf numFmtId="2" fontId="0" fillId="7" borderId="1" xfId="0" applyNumberFormat="1" applyFill="1" applyBorder="1"/>
    <xf numFmtId="0" fontId="1" fillId="7" borderId="28" xfId="0" applyFont="1" applyFill="1" applyBorder="1"/>
    <xf numFmtId="1" fontId="0" fillId="7" borderId="28" xfId="0" applyNumberFormat="1" applyFill="1" applyBorder="1"/>
    <xf numFmtId="0" fontId="0" fillId="7" borderId="28" xfId="0" applyFill="1" applyBorder="1"/>
    <xf numFmtId="2" fontId="0" fillId="7" borderId="28" xfId="0" applyNumberFormat="1" applyFill="1" applyBorder="1"/>
    <xf numFmtId="0" fontId="0" fillId="7" borderId="3" xfId="0" applyFill="1" applyBorder="1"/>
    <xf numFmtId="0" fontId="0" fillId="7" borderId="6" xfId="0" applyFill="1" applyBorder="1"/>
    <xf numFmtId="0" fontId="0" fillId="7" borderId="29" xfId="0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0" fillId="9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" fillId="7" borderId="1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0" fillId="7" borderId="39" xfId="0" applyNumberFormat="1" applyFill="1" applyBorder="1"/>
    <xf numFmtId="0" fontId="0" fillId="7" borderId="39" xfId="0" applyFill="1" applyBorder="1"/>
    <xf numFmtId="0" fontId="0" fillId="7" borderId="16" xfId="0" applyFill="1" applyBorder="1"/>
    <xf numFmtId="0" fontId="0" fillId="7" borderId="41" xfId="0" applyFill="1" applyBorder="1"/>
    <xf numFmtId="0" fontId="0" fillId="7" borderId="42" xfId="0" applyFill="1" applyBorder="1"/>
    <xf numFmtId="0" fontId="1" fillId="7" borderId="16" xfId="0" applyFont="1" applyFill="1" applyBorder="1"/>
    <xf numFmtId="0" fontId="1" fillId="7" borderId="41" xfId="0" applyFont="1" applyFill="1" applyBorder="1"/>
    <xf numFmtId="0" fontId="1" fillId="7" borderId="42" xfId="0" applyFont="1" applyFill="1" applyBorder="1"/>
    <xf numFmtId="0" fontId="1" fillId="7" borderId="39" xfId="0" applyFont="1" applyFill="1" applyBorder="1"/>
    <xf numFmtId="0" fontId="0" fillId="7" borderId="39" xfId="0" applyFill="1" applyBorder="1" applyAlignment="1">
      <alignment horizontal="left"/>
    </xf>
    <xf numFmtId="0" fontId="1" fillId="0" borderId="16" xfId="0" applyFont="1" applyFill="1" applyBorder="1"/>
    <xf numFmtId="0" fontId="1" fillId="0" borderId="41" xfId="0" applyFont="1" applyFill="1" applyBorder="1"/>
    <xf numFmtId="0" fontId="1" fillId="0" borderId="42" xfId="0" applyFont="1" applyFill="1" applyBorder="1"/>
    <xf numFmtId="0" fontId="1" fillId="7" borderId="8" xfId="0" applyFont="1" applyFill="1" applyBorder="1"/>
    <xf numFmtId="0" fontId="1" fillId="7" borderId="30" xfId="0" applyFont="1" applyFill="1" applyBorder="1"/>
    <xf numFmtId="0" fontId="0" fillId="7" borderId="3" xfId="0" applyFill="1" applyBorder="1" applyAlignment="1">
      <alignment horizontal="center"/>
    </xf>
    <xf numFmtId="0" fontId="0" fillId="7" borderId="40" xfId="0" applyFill="1" applyBorder="1"/>
    <xf numFmtId="0" fontId="1" fillId="7" borderId="41" xfId="0" applyFont="1" applyFill="1" applyBorder="1" applyAlignment="1">
      <alignment horizontal="left"/>
    </xf>
    <xf numFmtId="0" fontId="1" fillId="7" borderId="42" xfId="0" applyFont="1" applyFill="1" applyBorder="1" applyAlignment="1">
      <alignment horizontal="left"/>
    </xf>
    <xf numFmtId="0" fontId="5" fillId="6" borderId="12" xfId="0" applyFont="1" applyFill="1" applyBorder="1" applyAlignment="1">
      <alignment textRotation="255"/>
    </xf>
    <xf numFmtId="0" fontId="5" fillId="6" borderId="35" xfId="0" applyFont="1" applyFill="1" applyBorder="1" applyAlignment="1">
      <alignment textRotation="255"/>
    </xf>
    <xf numFmtId="0" fontId="5" fillId="6" borderId="37" xfId="0" applyFont="1" applyFill="1" applyBorder="1" applyAlignment="1">
      <alignment textRotation="255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7" fillId="7" borderId="22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center" vertical="center" textRotation="255"/>
    </xf>
    <xf numFmtId="0" fontId="1" fillId="8" borderId="35" xfId="0" applyFont="1" applyFill="1" applyBorder="1" applyAlignment="1">
      <alignment horizontal="center" vertical="center" textRotation="255"/>
    </xf>
    <xf numFmtId="0" fontId="1" fillId="8" borderId="37" xfId="0" applyFont="1" applyFill="1" applyBorder="1" applyAlignment="1">
      <alignment horizontal="center" vertical="center" textRotation="255"/>
    </xf>
    <xf numFmtId="0" fontId="7" fillId="7" borderId="22" xfId="0" applyFont="1" applyFill="1" applyBorder="1" applyAlignment="1"/>
    <xf numFmtId="0" fontId="7" fillId="7" borderId="1" xfId="0" applyFont="1" applyFill="1" applyBorder="1" applyAlignment="1"/>
    <xf numFmtId="0" fontId="7" fillId="7" borderId="5" xfId="0" applyFont="1" applyFill="1" applyBorder="1" applyAlignment="1">
      <alignment horizontal="center"/>
    </xf>
    <xf numFmtId="0" fontId="0" fillId="7" borderId="38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35" xfId="0" applyFont="1" applyFill="1" applyBorder="1" applyAlignment="1">
      <alignment horizontal="center" vertical="center" textRotation="255"/>
    </xf>
    <xf numFmtId="0" fontId="4" fillId="3" borderId="37" xfId="0" applyFont="1" applyFill="1" applyBorder="1" applyAlignment="1">
      <alignment horizontal="center" vertical="center" textRotation="255"/>
    </xf>
    <xf numFmtId="0" fontId="1" fillId="5" borderId="12" xfId="0" applyFont="1" applyFill="1" applyBorder="1" applyAlignment="1">
      <alignment horizontal="center" vertical="center" textRotation="255"/>
    </xf>
    <xf numFmtId="0" fontId="1" fillId="5" borderId="35" xfId="0" applyFont="1" applyFill="1" applyBorder="1" applyAlignment="1">
      <alignment horizontal="center" vertical="center" textRotation="255"/>
    </xf>
    <xf numFmtId="0" fontId="1" fillId="5" borderId="37" xfId="0" applyFont="1" applyFill="1" applyBorder="1" applyAlignment="1">
      <alignment horizontal="center" vertical="center" textRotation="255"/>
    </xf>
    <xf numFmtId="0" fontId="4" fillId="4" borderId="12" xfId="0" applyFont="1" applyFill="1" applyBorder="1" applyAlignment="1">
      <alignment horizontal="center" vertical="center" textRotation="255"/>
    </xf>
    <xf numFmtId="0" fontId="4" fillId="4" borderId="35" xfId="0" applyFont="1" applyFill="1" applyBorder="1" applyAlignment="1">
      <alignment horizontal="center" vertical="center" textRotation="255"/>
    </xf>
    <xf numFmtId="0" fontId="4" fillId="4" borderId="37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24" xfId="0" applyFont="1" applyFill="1" applyBorder="1" applyAlignment="1">
      <alignment horizontal="center" vertical="center" textRotation="255"/>
    </xf>
    <xf numFmtId="0" fontId="4" fillId="3" borderId="25" xfId="0" applyFont="1" applyFill="1" applyBorder="1" applyAlignment="1">
      <alignment horizontal="center" vertical="center" textRotation="255"/>
    </xf>
    <xf numFmtId="0" fontId="4" fillId="4" borderId="23" xfId="0" applyFont="1" applyFill="1" applyBorder="1" applyAlignment="1">
      <alignment horizontal="center" vertical="center" textRotation="255"/>
    </xf>
    <xf numFmtId="0" fontId="4" fillId="4" borderId="24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7" borderId="39" xfId="0" applyFont="1" applyFill="1" applyBorder="1" applyAlignment="1">
      <alignment horizontal="left"/>
    </xf>
    <xf numFmtId="0" fontId="7" fillId="7" borderId="39" xfId="0" applyFont="1" applyFill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295274</xdr:rowOff>
    </xdr:from>
    <xdr:to>
      <xdr:col>56</xdr:col>
      <xdr:colOff>22412</xdr:colOff>
      <xdr:row>71</xdr:row>
      <xdr:rowOff>11205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887" y="452156"/>
          <a:ext cx="7125260" cy="10014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168089</xdr:colOff>
      <xdr:row>1</xdr:row>
      <xdr:rowOff>224117</xdr:rowOff>
    </xdr:from>
    <xdr:to>
      <xdr:col>57</xdr:col>
      <xdr:colOff>112059</xdr:colOff>
      <xdr:row>69</xdr:row>
      <xdr:rowOff>11206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4971" y="380999"/>
          <a:ext cx="6465794" cy="980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46"/>
  <sheetViews>
    <sheetView tabSelected="1" topLeftCell="C1" zoomScale="85" zoomScaleNormal="85" workbookViewId="0">
      <selection activeCell="BF47" sqref="BF47"/>
    </sheetView>
  </sheetViews>
  <sheetFormatPr baseColWidth="10" defaultColWidth="11.42578125" defaultRowHeight="12.75" x14ac:dyDescent="0.2"/>
  <cols>
    <col min="1" max="1" width="21.140625" style="5" hidden="1" customWidth="1"/>
    <col min="2" max="2" width="15.5703125" style="5" hidden="1" customWidth="1"/>
    <col min="3" max="3" width="16.7109375" style="5" bestFit="1" customWidth="1"/>
    <col min="4" max="4" width="20" style="5" customWidth="1"/>
    <col min="5" max="5" width="15" style="5" customWidth="1"/>
    <col min="6" max="6" width="11" style="5" bestFit="1" customWidth="1"/>
    <col min="7" max="7" width="17.5703125" style="5" customWidth="1"/>
    <col min="8" max="8" width="16.5703125" style="5" customWidth="1"/>
    <col min="9" max="9" width="9.28515625" style="5" customWidth="1"/>
    <col min="10" max="10" width="11.140625" style="5" customWidth="1"/>
    <col min="11" max="11" width="11.140625" style="3" customWidth="1"/>
    <col min="12" max="12" width="1.5703125" style="3" customWidth="1"/>
    <col min="13" max="13" width="11.140625" style="3" customWidth="1"/>
    <col min="14" max="14" width="63" style="3" customWidth="1"/>
    <col min="15" max="15" width="5.85546875" style="3" hidden="1" customWidth="1"/>
    <col min="16" max="16" width="17.7109375" style="3" hidden="1" customWidth="1"/>
    <col min="17" max="17" width="9.7109375" style="3" hidden="1" customWidth="1"/>
    <col min="18" max="18" width="24.85546875" style="3" hidden="1" customWidth="1"/>
    <col min="19" max="19" width="27.140625" style="3" hidden="1" customWidth="1"/>
    <col min="20" max="20" width="19.85546875" style="3" hidden="1" customWidth="1"/>
    <col min="21" max="21" width="19" style="3" hidden="1" customWidth="1"/>
    <col min="22" max="22" width="18.42578125" style="3" hidden="1" customWidth="1"/>
    <col min="23" max="23" width="15.28515625" style="3" hidden="1" customWidth="1"/>
    <col min="24" max="24" width="19.5703125" hidden="1" customWidth="1"/>
    <col min="25" max="29" width="11.140625" hidden="1" customWidth="1"/>
    <col min="30" max="30" width="8.7109375" hidden="1" customWidth="1"/>
    <col min="31" max="31" width="3.5703125" hidden="1" customWidth="1"/>
    <col min="32" max="32" width="11.7109375" hidden="1" customWidth="1"/>
    <col min="33" max="38" width="11.42578125" hidden="1" customWidth="1"/>
    <col min="39" max="55" width="11.42578125" style="5" hidden="1" customWidth="1"/>
    <col min="56" max="80" width="11.42578125" style="5" customWidth="1"/>
    <col min="81" max="118" width="11.42578125" style="5"/>
  </cols>
  <sheetData>
    <row r="1" spans="1:118" s="3" customFormat="1" ht="12.75" customHeight="1" x14ac:dyDescent="0.2">
      <c r="A1" s="5"/>
      <c r="B1" s="130" t="s">
        <v>103</v>
      </c>
      <c r="C1" s="130"/>
      <c r="D1" s="130"/>
      <c r="E1" s="130"/>
      <c r="F1" s="130"/>
      <c r="G1" s="130"/>
      <c r="H1" s="130"/>
      <c r="I1" s="5"/>
      <c r="J1" s="5"/>
      <c r="K1" s="5"/>
      <c r="L1" s="5"/>
      <c r="M1" s="5"/>
      <c r="N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</row>
    <row r="2" spans="1:118" s="3" customFormat="1" ht="24.75" customHeight="1" thickBot="1" x14ac:dyDescent="0.25">
      <c r="A2" s="5"/>
      <c r="B2" s="130"/>
      <c r="C2" s="130"/>
      <c r="D2" s="130"/>
      <c r="E2" s="130"/>
      <c r="F2" s="130"/>
      <c r="G2" s="130"/>
      <c r="H2" s="130"/>
      <c r="I2" s="5"/>
      <c r="J2" s="5"/>
      <c r="K2" s="5"/>
      <c r="L2" s="5"/>
      <c r="M2" s="5"/>
      <c r="N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</row>
    <row r="3" spans="1:118" s="3" customFormat="1" x14ac:dyDescent="0.2">
      <c r="A3" s="5"/>
      <c r="B3" s="5"/>
      <c r="C3" s="31"/>
      <c r="D3" s="38"/>
      <c r="E3" s="38"/>
      <c r="F3" s="38"/>
      <c r="G3" s="38"/>
      <c r="H3" s="26"/>
      <c r="I3" s="5"/>
      <c r="J3" s="5"/>
      <c r="K3" s="5"/>
      <c r="L3" s="5"/>
      <c r="M3" s="5"/>
      <c r="N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</row>
    <row r="4" spans="1:118" x14ac:dyDescent="0.2">
      <c r="C4" s="39" t="s">
        <v>70</v>
      </c>
      <c r="D4" s="10" t="s">
        <v>72</v>
      </c>
      <c r="E4" s="124" t="s">
        <v>104</v>
      </c>
      <c r="F4" s="125"/>
      <c r="G4" s="125"/>
      <c r="H4" s="126"/>
      <c r="K4" s="5"/>
      <c r="L4" s="5"/>
      <c r="M4" s="5"/>
      <c r="N4" s="5"/>
      <c r="O4" s="5" t="s">
        <v>10</v>
      </c>
      <c r="P4" s="5" t="s">
        <v>47</v>
      </c>
      <c r="Q4" s="5" t="s">
        <v>48</v>
      </c>
      <c r="R4" s="5" t="s">
        <v>49</v>
      </c>
      <c r="S4" s="5" t="s">
        <v>9</v>
      </c>
      <c r="T4" s="5" t="s">
        <v>61</v>
      </c>
      <c r="U4" s="5" t="s">
        <v>62</v>
      </c>
      <c r="V4" s="5" t="s">
        <v>53</v>
      </c>
      <c r="W4" s="5" t="s">
        <v>54</v>
      </c>
      <c r="X4" s="5" t="s">
        <v>55</v>
      </c>
      <c r="Y4" s="5"/>
      <c r="Z4" s="5"/>
      <c r="AA4" s="5"/>
      <c r="AB4" s="5"/>
      <c r="AC4" s="5"/>
      <c r="AD4" s="5" t="s">
        <v>39</v>
      </c>
      <c r="AE4" s="5" t="s">
        <v>36</v>
      </c>
      <c r="AF4" s="6" t="s">
        <v>126</v>
      </c>
      <c r="AG4" s="5" t="s">
        <v>136</v>
      </c>
      <c r="AH4" s="5" t="s">
        <v>136</v>
      </c>
      <c r="AI4" s="5"/>
      <c r="AJ4" s="5"/>
      <c r="AK4" s="5"/>
      <c r="AL4" s="5"/>
    </row>
    <row r="5" spans="1:118" x14ac:dyDescent="0.2">
      <c r="C5" s="39" t="s">
        <v>0</v>
      </c>
      <c r="D5" s="7">
        <v>2000</v>
      </c>
      <c r="E5" s="124"/>
      <c r="F5" s="125"/>
      <c r="G5" s="125"/>
      <c r="H5" s="12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40</v>
      </c>
      <c r="AE5" s="5" t="s">
        <v>37</v>
      </c>
      <c r="AF5" s="6" t="s">
        <v>127</v>
      </c>
      <c r="AG5" s="5" t="s">
        <v>137</v>
      </c>
      <c r="AH5" s="5" t="s">
        <v>136</v>
      </c>
      <c r="AI5" s="5"/>
      <c r="AJ5" s="5"/>
      <c r="AK5" s="5"/>
      <c r="AL5" s="5"/>
    </row>
    <row r="6" spans="1:118" x14ac:dyDescent="0.2">
      <c r="C6" s="39" t="s">
        <v>1</v>
      </c>
      <c r="D6" s="7">
        <v>2100</v>
      </c>
      <c r="E6" s="124"/>
      <c r="F6" s="125"/>
      <c r="G6" s="125"/>
      <c r="H6" s="126"/>
      <c r="K6" s="5"/>
      <c r="L6" s="5"/>
      <c r="M6" s="5"/>
      <c r="N6" s="5"/>
      <c r="O6" s="5">
        <v>2</v>
      </c>
      <c r="P6" s="5">
        <v>10</v>
      </c>
      <c r="Q6" s="5">
        <v>1</v>
      </c>
      <c r="R6" s="5">
        <v>1</v>
      </c>
      <c r="S6" s="5">
        <v>2</v>
      </c>
      <c r="T6" s="5">
        <v>8</v>
      </c>
      <c r="U6" s="5">
        <v>4</v>
      </c>
      <c r="V6" s="5">
        <v>2</v>
      </c>
      <c r="W6" s="5">
        <v>4</v>
      </c>
      <c r="X6" s="5">
        <v>4</v>
      </c>
      <c r="Y6" s="5"/>
      <c r="Z6" s="5"/>
      <c r="AA6" s="5"/>
      <c r="AB6" s="5"/>
      <c r="AC6" s="5"/>
      <c r="AD6" s="5"/>
      <c r="AE6" s="5"/>
      <c r="AF6" s="6" t="s">
        <v>128</v>
      </c>
      <c r="AG6" s="5" t="s">
        <v>125</v>
      </c>
      <c r="AH6" s="5" t="s">
        <v>137</v>
      </c>
      <c r="AI6" s="5"/>
      <c r="AJ6" s="5"/>
      <c r="AK6" s="5"/>
      <c r="AL6" s="5"/>
    </row>
    <row r="7" spans="1:118" s="3" customFormat="1" ht="12.75" hidden="1" customHeight="1" x14ac:dyDescent="0.2">
      <c r="A7" s="5"/>
      <c r="B7" s="5"/>
      <c r="C7" s="39" t="s">
        <v>46</v>
      </c>
      <c r="D7" s="9">
        <f>VLOOKUP(D4,$P$54:$Q$62,2,FALSE)</f>
        <v>4</v>
      </c>
      <c r="E7" s="124"/>
      <c r="F7" s="125"/>
      <c r="G7" s="125"/>
      <c r="H7" s="126"/>
      <c r="I7" s="5"/>
      <c r="J7" s="5"/>
      <c r="K7" s="5"/>
      <c r="L7" s="5"/>
      <c r="M7" s="5"/>
      <c r="N7" s="5"/>
      <c r="O7" s="5">
        <v>3</v>
      </c>
      <c r="P7" s="5">
        <v>30</v>
      </c>
      <c r="Q7" s="5">
        <v>2</v>
      </c>
      <c r="R7" s="5">
        <v>2</v>
      </c>
      <c r="S7" s="5">
        <v>4</v>
      </c>
      <c r="T7" s="5">
        <v>12</v>
      </c>
      <c r="U7" s="5">
        <v>4</v>
      </c>
      <c r="V7" s="5">
        <v>4</v>
      </c>
      <c r="W7" s="5">
        <v>6</v>
      </c>
      <c r="X7" s="5">
        <v>6</v>
      </c>
      <c r="Y7" s="5"/>
      <c r="Z7" s="5"/>
      <c r="AA7" s="5"/>
      <c r="AB7" s="5"/>
      <c r="AC7" s="5"/>
      <c r="AD7" s="5"/>
      <c r="AE7" s="5"/>
      <c r="AF7" s="6" t="s">
        <v>129</v>
      </c>
      <c r="AG7" s="5" t="s">
        <v>125</v>
      </c>
      <c r="AH7" s="5" t="s">
        <v>137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</row>
    <row r="8" spans="1:118" s="3" customFormat="1" x14ac:dyDescent="0.2">
      <c r="A8" s="5"/>
      <c r="B8" s="5"/>
      <c r="C8" s="39" t="s">
        <v>65</v>
      </c>
      <c r="D8" s="11" t="s">
        <v>14</v>
      </c>
      <c r="E8" s="124"/>
      <c r="F8" s="125"/>
      <c r="G8" s="125"/>
      <c r="H8" s="126"/>
      <c r="I8" s="5"/>
      <c r="J8" s="5"/>
      <c r="K8" s="5"/>
      <c r="L8" s="5"/>
      <c r="M8" s="5"/>
      <c r="N8" s="5"/>
      <c r="O8" s="5">
        <v>4</v>
      </c>
      <c r="P8" s="5">
        <v>21</v>
      </c>
      <c r="Q8" s="5">
        <v>2</v>
      </c>
      <c r="R8" s="5">
        <v>4</v>
      </c>
      <c r="S8" s="5">
        <v>4</v>
      </c>
      <c r="T8" s="5">
        <v>16</v>
      </c>
      <c r="U8" s="5">
        <v>8</v>
      </c>
      <c r="V8" s="5">
        <v>4</v>
      </c>
      <c r="W8" s="5">
        <v>8</v>
      </c>
      <c r="X8" s="5">
        <v>8</v>
      </c>
      <c r="Y8" s="5"/>
      <c r="Z8" s="5"/>
      <c r="AA8" s="5"/>
      <c r="AB8" s="5"/>
      <c r="AC8" s="5"/>
      <c r="AD8" s="5"/>
      <c r="AE8" s="5"/>
      <c r="AF8" s="6" t="s">
        <v>130</v>
      </c>
      <c r="AG8" s="5" t="s">
        <v>125</v>
      </c>
      <c r="AH8" s="5" t="s">
        <v>125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</row>
    <row r="9" spans="1:118" s="3" customFormat="1" x14ac:dyDescent="0.2">
      <c r="A9" s="5"/>
      <c r="B9" s="5"/>
      <c r="C9" s="39" t="s">
        <v>66</v>
      </c>
      <c r="D9" s="11" t="s">
        <v>14</v>
      </c>
      <c r="E9" s="124"/>
      <c r="F9" s="125"/>
      <c r="G9" s="125"/>
      <c r="H9" s="126"/>
      <c r="I9" s="5"/>
      <c r="J9" s="5"/>
      <c r="K9" s="5"/>
      <c r="L9" s="5"/>
      <c r="M9" s="5"/>
      <c r="N9" s="5"/>
      <c r="O9" s="5">
        <v>6</v>
      </c>
      <c r="P9" s="5">
        <v>38</v>
      </c>
      <c r="Q9" s="5">
        <v>4</v>
      </c>
      <c r="R9" s="5">
        <v>6</v>
      </c>
      <c r="S9" s="5">
        <v>8</v>
      </c>
      <c r="T9" s="5">
        <v>24</v>
      </c>
      <c r="U9" s="5">
        <v>8</v>
      </c>
      <c r="V9" s="5">
        <v>8</v>
      </c>
      <c r="W9" s="5">
        <v>12</v>
      </c>
      <c r="X9" s="5">
        <v>12</v>
      </c>
      <c r="Y9" s="5"/>
      <c r="Z9" s="5"/>
      <c r="AA9" s="5"/>
      <c r="AB9" s="5"/>
      <c r="AC9" s="5"/>
      <c r="AD9" s="5"/>
      <c r="AE9" s="5"/>
      <c r="AF9" s="6" t="s">
        <v>131</v>
      </c>
      <c r="AG9" s="5" t="s">
        <v>136</v>
      </c>
      <c r="AH9" s="5" t="s">
        <v>136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</row>
    <row r="10" spans="1:118" s="3" customFormat="1" x14ac:dyDescent="0.2">
      <c r="A10" s="5"/>
      <c r="B10" s="5"/>
      <c r="C10" s="39" t="s">
        <v>35</v>
      </c>
      <c r="D10" s="11" t="s">
        <v>36</v>
      </c>
      <c r="E10" s="124"/>
      <c r="F10" s="125"/>
      <c r="G10" s="125"/>
      <c r="H10" s="12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 t="s">
        <v>132</v>
      </c>
      <c r="AG10" s="5" t="s">
        <v>137</v>
      </c>
      <c r="AH10" s="5" t="s">
        <v>136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</row>
    <row r="11" spans="1:118" s="3" customFormat="1" x14ac:dyDescent="0.2">
      <c r="A11" s="5"/>
      <c r="B11" s="5"/>
      <c r="C11" s="39" t="s">
        <v>38</v>
      </c>
      <c r="D11" s="11" t="s">
        <v>39</v>
      </c>
      <c r="E11" s="124"/>
      <c r="F11" s="125"/>
      <c r="G11" s="125"/>
      <c r="H11" s="126"/>
      <c r="I11" s="5"/>
      <c r="J11" s="5"/>
      <c r="K11" s="5"/>
      <c r="L11" s="5"/>
      <c r="M11" s="5"/>
      <c r="N11" s="5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5"/>
      <c r="AA11" s="5"/>
      <c r="AB11" s="5"/>
      <c r="AC11" s="5"/>
      <c r="AD11" s="5"/>
      <c r="AE11" s="5"/>
      <c r="AF11" s="6" t="s">
        <v>133</v>
      </c>
      <c r="AG11" s="5" t="s">
        <v>137</v>
      </c>
      <c r="AH11" s="5" t="s">
        <v>137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</row>
    <row r="12" spans="1:118" s="3" customFormat="1" ht="15.6" customHeight="1" x14ac:dyDescent="0.2">
      <c r="A12" s="5"/>
      <c r="B12" s="5"/>
      <c r="C12" s="39" t="s">
        <v>45</v>
      </c>
      <c r="D12" s="11" t="s">
        <v>132</v>
      </c>
      <c r="E12" s="124"/>
      <c r="F12" s="125"/>
      <c r="G12" s="125"/>
      <c r="H12" s="12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5"/>
      <c r="Z12" s="5"/>
      <c r="AA12" s="5"/>
      <c r="AB12" s="5"/>
      <c r="AC12" s="5"/>
      <c r="AD12" s="5"/>
      <c r="AE12" s="5"/>
      <c r="AF12" s="6" t="s">
        <v>134</v>
      </c>
      <c r="AG12" s="5" t="s">
        <v>125</v>
      </c>
      <c r="AH12" s="5" t="s">
        <v>137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</row>
    <row r="13" spans="1:118" s="3" customFormat="1" ht="13.5" thickBot="1" x14ac:dyDescent="0.25">
      <c r="A13" s="5"/>
      <c r="B13" s="5"/>
      <c r="C13" s="33"/>
      <c r="D13" s="40"/>
      <c r="E13" s="42"/>
      <c r="F13" s="42"/>
      <c r="G13" s="42"/>
      <c r="H13" s="4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5"/>
      <c r="Z13" s="5"/>
      <c r="AA13" s="5"/>
      <c r="AB13" s="5"/>
      <c r="AC13" s="5"/>
      <c r="AD13" s="5"/>
      <c r="AE13" s="5"/>
      <c r="AF13" s="6" t="s">
        <v>135</v>
      </c>
      <c r="AG13" s="5" t="s">
        <v>125</v>
      </c>
      <c r="AH13" s="5" t="s">
        <v>125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</row>
    <row r="14" spans="1:118" s="3" customFormat="1" ht="13.5" thickBot="1" x14ac:dyDescent="0.25">
      <c r="A14" s="5"/>
      <c r="B14" s="5"/>
      <c r="C14" s="16"/>
      <c r="D14" s="16"/>
      <c r="E14" s="41"/>
      <c r="F14" s="41"/>
      <c r="G14" s="41"/>
      <c r="H14" s="4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</row>
    <row r="15" spans="1:118" s="3" customFormat="1" hidden="1" x14ac:dyDescent="0.2">
      <c r="A15" s="5"/>
      <c r="B15" s="12" t="s">
        <v>10</v>
      </c>
      <c r="C15" s="36">
        <f>D7</f>
        <v>4</v>
      </c>
      <c r="D15" s="37"/>
      <c r="E15" s="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</row>
    <row r="16" spans="1:118" hidden="1" x14ac:dyDescent="0.2">
      <c r="B16" s="13"/>
      <c r="C16" s="14" t="s">
        <v>11</v>
      </c>
      <c r="D16" s="15" t="s">
        <v>12</v>
      </c>
      <c r="E16" s="16"/>
      <c r="F16" s="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7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118" hidden="1" x14ac:dyDescent="0.2">
      <c r="B17" s="18" t="s">
        <v>7</v>
      </c>
      <c r="C17" s="19"/>
      <c r="D17" s="20">
        <f>FW/$D$7+VLOOKUP($D$7,$O$6:$P$9,2,FALSE)</f>
        <v>521</v>
      </c>
      <c r="E17" s="17"/>
      <c r="F17" s="17"/>
      <c r="K17" s="5"/>
      <c r="L17" s="5"/>
      <c r="M17" s="5"/>
      <c r="N17" s="5"/>
      <c r="O17" s="5"/>
      <c r="P17" s="5"/>
      <c r="Q17" s="5"/>
      <c r="R17" s="5"/>
      <c r="S17" s="17"/>
      <c r="T17" s="17"/>
      <c r="U17" s="17"/>
      <c r="V17" s="21"/>
      <c r="W17" s="17"/>
      <c r="X17" s="17"/>
      <c r="Y17" s="17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118" ht="35.25" hidden="1" customHeight="1" thickBot="1" x14ac:dyDescent="0.25">
      <c r="B18" s="22" t="s">
        <v>8</v>
      </c>
      <c r="C18" s="23"/>
      <c r="D18" s="24">
        <f>$D$6-68</f>
        <v>2032</v>
      </c>
      <c r="E18" s="21"/>
      <c r="F18" s="21"/>
      <c r="K18" s="5"/>
      <c r="L18" s="5"/>
      <c r="M18" s="5"/>
      <c r="N18" s="17"/>
      <c r="O18" s="17"/>
      <c r="P18" s="17"/>
      <c r="Q18" s="17"/>
      <c r="R18" s="17"/>
      <c r="S18" s="21"/>
      <c r="T18" s="21"/>
      <c r="U18" s="21"/>
      <c r="V18" s="21"/>
      <c r="W18" s="21"/>
      <c r="X18" s="21"/>
      <c r="Y18" s="25"/>
      <c r="Z18" s="21"/>
      <c r="AA18" s="21"/>
      <c r="AB18" s="21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118" ht="31.5" customHeight="1" thickBot="1" x14ac:dyDescent="0.25">
      <c r="B19" s="127" t="s">
        <v>60</v>
      </c>
      <c r="C19" s="128"/>
      <c r="D19" s="128"/>
      <c r="E19" s="128"/>
      <c r="F19" s="128"/>
      <c r="G19" s="128"/>
      <c r="H19" s="129"/>
      <c r="I19" s="16"/>
      <c r="K19" s="5"/>
      <c r="L19" s="17"/>
      <c r="M19" s="17"/>
      <c r="N19" s="21"/>
      <c r="O19" s="21"/>
      <c r="P19" s="21"/>
      <c r="Q19" s="21"/>
      <c r="R19" s="21"/>
      <c r="S19" s="25"/>
      <c r="T19" s="25"/>
      <c r="U19" s="25"/>
      <c r="V19" s="25"/>
      <c r="W19" s="25"/>
      <c r="X19" s="25"/>
      <c r="Y19" s="16"/>
      <c r="Z19" s="25"/>
      <c r="AA19" s="25"/>
      <c r="AB19" s="2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118" s="3" customFormat="1" ht="24.75" customHeight="1" thickBot="1" x14ac:dyDescent="0.25">
      <c r="A20" s="5"/>
      <c r="B20" s="44" t="s">
        <v>105</v>
      </c>
      <c r="C20" s="87" t="s">
        <v>105</v>
      </c>
      <c r="D20" s="140" t="s">
        <v>145</v>
      </c>
      <c r="E20" s="141"/>
      <c r="F20" s="87" t="s">
        <v>106</v>
      </c>
      <c r="G20" s="87" t="s">
        <v>12</v>
      </c>
      <c r="H20" s="88"/>
      <c r="I20" s="16"/>
      <c r="J20" s="5"/>
      <c r="K20" s="5"/>
      <c r="L20" s="17"/>
      <c r="M20" s="17"/>
      <c r="N20" s="21"/>
      <c r="O20" s="21"/>
      <c r="P20" s="21"/>
      <c r="Q20" s="21"/>
      <c r="R20" s="21"/>
      <c r="S20" s="25"/>
      <c r="T20" s="25"/>
      <c r="U20" s="25"/>
      <c r="V20" s="25"/>
      <c r="W20" s="25"/>
      <c r="X20" s="25"/>
      <c r="Y20" s="16"/>
      <c r="Z20" s="25"/>
      <c r="AA20" s="25"/>
      <c r="AB20" s="2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</row>
    <row r="21" spans="1:118" ht="12.75" customHeight="1" x14ac:dyDescent="0.2">
      <c r="B21" s="102" t="str">
        <f xml:space="preserve"> IF(OR(D7=O7,D7=O9),"MT-6540","MT-6539")</f>
        <v>MT-6539</v>
      </c>
      <c r="C21" s="64" t="str">
        <f>B21</f>
        <v>MT-6539</v>
      </c>
      <c r="D21" s="121" t="str">
        <f>IFERROR( VLOOKUP(C21,Descripciones!$A$2:$B$131,2,FALSE),"")</f>
        <v>Perfil marco inferior</v>
      </c>
      <c r="E21" s="121"/>
      <c r="F21" s="65">
        <v>1</v>
      </c>
      <c r="G21" s="66">
        <f>FW-41</f>
        <v>1959</v>
      </c>
      <c r="H21" s="79"/>
      <c r="I21" s="134" t="s">
        <v>50</v>
      </c>
      <c r="J21" s="17"/>
      <c r="K21" s="17"/>
      <c r="L21" s="21"/>
      <c r="M21" s="21"/>
      <c r="N21" s="25"/>
      <c r="O21" s="5"/>
      <c r="P21" s="5"/>
      <c r="Q21" s="5"/>
      <c r="R21" s="5"/>
      <c r="S21" s="5"/>
      <c r="T21" s="5"/>
      <c r="U21" s="5"/>
      <c r="V21" s="16"/>
      <c r="W21" s="16"/>
      <c r="X21" s="16"/>
      <c r="Y21" s="5"/>
      <c r="Z21" s="16"/>
      <c r="AA21" s="16"/>
      <c r="AB21" s="16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118" s="1" customFormat="1" x14ac:dyDescent="0.2">
      <c r="A22" s="5"/>
      <c r="B22" s="103" t="str">
        <f xml:space="preserve"> IF(OR(D7=O7,D7=O9),"MT-6547","MT-6546")</f>
        <v>MT-6546</v>
      </c>
      <c r="C22" s="63" t="str">
        <f>B22</f>
        <v>MT-6546</v>
      </c>
      <c r="D22" s="122" t="str">
        <f>IFERROR( VLOOKUP(C22,Descripciones!$A$2:$B$131,2,FALSE),"")</f>
        <v>Perfil marco superior</v>
      </c>
      <c r="E22" s="122"/>
      <c r="F22" s="67">
        <v>1</v>
      </c>
      <c r="G22" s="68">
        <f>FW-41</f>
        <v>1959</v>
      </c>
      <c r="H22" s="104"/>
      <c r="I22" s="135"/>
      <c r="J22" s="21"/>
      <c r="K22" s="17"/>
      <c r="L22" s="25"/>
      <c r="M22" s="25"/>
      <c r="N22" s="16"/>
      <c r="O22" s="16"/>
      <c r="P22" s="5"/>
      <c r="Q22" s="5"/>
      <c r="R22" s="5"/>
      <c r="S22" s="5"/>
      <c r="T22" s="5"/>
      <c r="U22" s="5"/>
      <c r="V22" s="5"/>
      <c r="W22" s="5"/>
      <c r="X22" s="5"/>
      <c r="Y22" s="16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</row>
    <row r="23" spans="1:118" s="1" customFormat="1" x14ac:dyDescent="0.2">
      <c r="A23" s="5"/>
      <c r="B23" s="103" t="str">
        <f xml:space="preserve"> IF(OR(D7=O7,D7=O9),"MT-6543","MT-6542")</f>
        <v>MT-6542</v>
      </c>
      <c r="C23" s="63" t="str">
        <f>B23</f>
        <v>MT-6542</v>
      </c>
      <c r="D23" s="122" t="str">
        <f>IFERROR( VLOOKUP(C23,Descripciones!$A$2:$B$131,2,FALSE),"")</f>
        <v>Perfil marco lateral</v>
      </c>
      <c r="E23" s="122"/>
      <c r="F23" s="67">
        <v>2</v>
      </c>
      <c r="G23" s="68">
        <f>FH</f>
        <v>2100</v>
      </c>
      <c r="H23" s="77"/>
      <c r="I23" s="135"/>
      <c r="J23" s="25"/>
      <c r="K23" s="21"/>
      <c r="L23" s="16"/>
      <c r="M23" s="16"/>
      <c r="N23" s="5"/>
      <c r="O23" s="16"/>
      <c r="P23" s="5"/>
      <c r="Q23" s="5"/>
      <c r="R23" s="5"/>
      <c r="S23" s="5"/>
      <c r="T23" s="5"/>
      <c r="U23" s="5"/>
      <c r="V23" s="16"/>
      <c r="W23" s="16"/>
      <c r="X23" s="16"/>
      <c r="Y23" s="16"/>
      <c r="Z23" s="1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</row>
    <row r="24" spans="1:118" s="1" customFormat="1" x14ac:dyDescent="0.2">
      <c r="A24" s="5"/>
      <c r="B24" s="103" t="s">
        <v>110</v>
      </c>
      <c r="C24" s="63" t="str">
        <f>B24</f>
        <v>MT-6541</v>
      </c>
      <c r="D24" s="122" t="str">
        <f>IFERROR( VLOOKUP(C24,Descripciones!$A$2:$B$131,2,FALSE),"")</f>
        <v>Perfil guia de marco</v>
      </c>
      <c r="E24" s="122"/>
      <c r="F24" s="67">
        <f>VLOOKUP($D$4,$P$54:$Y$62,7,FALSE)</f>
        <v>1</v>
      </c>
      <c r="G24" s="67">
        <f>VLOOKUP($D$4,$P$54:$Y$62,8,FALSE)</f>
        <v>1932</v>
      </c>
      <c r="H24" s="77"/>
      <c r="I24" s="135"/>
      <c r="J24" s="16"/>
      <c r="K24" s="25"/>
      <c r="L24" s="5"/>
      <c r="M24" s="5"/>
      <c r="N24" s="16"/>
      <c r="O24" s="16"/>
      <c r="P24" s="5"/>
      <c r="Q24" s="5"/>
      <c r="R24" s="5"/>
      <c r="S24" s="5"/>
      <c r="T24" s="5"/>
      <c r="U24" s="5"/>
      <c r="V24" s="16"/>
      <c r="W24" s="16"/>
      <c r="X24" s="16"/>
      <c r="Y24" s="16"/>
      <c r="Z24" s="16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</row>
    <row r="25" spans="1:118" s="3" customFormat="1" x14ac:dyDescent="0.2">
      <c r="A25" s="5"/>
      <c r="B25" s="95" t="str">
        <f>IF(OR($D$4=ESQUEMA_F,$D$4=ESQUEMA_H,$D$4=ESQUEMA_J),"MT-6541","")</f>
        <v>MT-6541</v>
      </c>
      <c r="C25" s="63" t="str">
        <f t="shared" ref="C25:C26" si="0">B25</f>
        <v>MT-6541</v>
      </c>
      <c r="D25" s="122" t="str">
        <f>IFERROR( VLOOKUP(C25,Descripciones!$A$2:$B$131,2,FALSE),"")</f>
        <v>Perfil guia de marco</v>
      </c>
      <c r="E25" s="122"/>
      <c r="F25" s="67">
        <f>IF(B25&lt;&gt;"",VLOOKUP(D4,P54:Y62,9,FALSE),"")</f>
        <v>1</v>
      </c>
      <c r="G25" s="68">
        <f>IF(B25&lt;&gt;"",FW-30,"")</f>
        <v>1970</v>
      </c>
      <c r="H25" s="77"/>
      <c r="I25" s="135"/>
      <c r="J25" s="16"/>
      <c r="K25" s="25"/>
      <c r="L25" s="5"/>
      <c r="M25" s="5"/>
      <c r="N25" s="16"/>
      <c r="O25" s="16"/>
      <c r="P25" s="5"/>
      <c r="Q25" s="5"/>
      <c r="R25" s="5"/>
      <c r="S25" s="5"/>
      <c r="T25" s="5"/>
      <c r="U25" s="5"/>
      <c r="V25" s="16"/>
      <c r="W25" s="16"/>
      <c r="X25" s="16"/>
      <c r="Y25" s="16"/>
      <c r="Z25" s="16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</row>
    <row r="26" spans="1:118" s="1" customFormat="1" x14ac:dyDescent="0.2">
      <c r="A26" s="5"/>
      <c r="B26" s="95" t="str">
        <f>IF(OR(D4=ESQUEMA_A,D4=ESQUEMA_C,D4=ESQUEMA_L,D4=ESQUEMA_K,D4=ESQUEMA_M),"MT-6555","")</f>
        <v/>
      </c>
      <c r="C26" s="63" t="str">
        <f t="shared" si="0"/>
        <v/>
      </c>
      <c r="D26" s="122" t="str">
        <f>IFERROR( VLOOKUP(C26,Descripciones!$A$2:$B$131,2,FALSE),"")</f>
        <v/>
      </c>
      <c r="E26" s="122"/>
      <c r="F26" s="61" t="str">
        <f>IF(B26&lt;&gt;"",1,"")</f>
        <v/>
      </c>
      <c r="G26" s="67" t="str">
        <f>IF(B26&lt;&gt;"",VLOOKUP(D4,P54:Y62,10,FALSE),"")</f>
        <v/>
      </c>
      <c r="H26" s="77"/>
      <c r="I26" s="135"/>
      <c r="J26" s="5"/>
      <c r="K26" s="16"/>
      <c r="L26" s="16"/>
      <c r="M26" s="16"/>
      <c r="N26" s="16"/>
      <c r="O26" s="16"/>
      <c r="P26" s="5"/>
      <c r="Q26" s="5"/>
      <c r="R26" s="5"/>
      <c r="S26" s="5"/>
      <c r="T26" s="5"/>
      <c r="U26" s="5"/>
      <c r="V26" s="16"/>
      <c r="W26" s="16"/>
      <c r="X26" s="16"/>
      <c r="Y26" s="16"/>
      <c r="Z26" s="16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</row>
    <row r="27" spans="1:118" s="1" customFormat="1" x14ac:dyDescent="0.2">
      <c r="A27" s="5"/>
      <c r="B27" s="95" t="str">
        <f>IF(LEFT(D12,1)="D","MT-6548","MT-6549")</f>
        <v>MT-6548</v>
      </c>
      <c r="C27" s="63" t="str">
        <f t="shared" ref="C27:C34" si="1">B27</f>
        <v>MT-6548</v>
      </c>
      <c r="D27" s="122" t="str">
        <f>IFERROR( VLOOKUP(C27,Descripciones!$A$2:$B$131,2,FALSE),"")</f>
        <v>Perfil hoja DVH</v>
      </c>
      <c r="E27" s="122"/>
      <c r="F27" s="67">
        <f>2*D7</f>
        <v>8</v>
      </c>
      <c r="G27" s="68">
        <f>SW</f>
        <v>521</v>
      </c>
      <c r="H27" s="77"/>
      <c r="I27" s="135"/>
      <c r="J27" s="16"/>
      <c r="K27" s="5"/>
      <c r="L27" s="16"/>
      <c r="M27" s="16"/>
      <c r="N27" s="16"/>
      <c r="O27" s="16"/>
      <c r="P27" s="5"/>
      <c r="Q27" s="5"/>
      <c r="R27" s="5"/>
      <c r="S27" s="5"/>
      <c r="T27" s="5"/>
      <c r="U27" s="5"/>
      <c r="V27" s="16"/>
      <c r="W27" s="16"/>
      <c r="X27" s="16"/>
      <c r="Y27" s="16"/>
      <c r="Z27" s="16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</row>
    <row r="28" spans="1:118" s="1" customFormat="1" x14ac:dyDescent="0.2">
      <c r="A28" s="5"/>
      <c r="B28" s="95" t="str">
        <f>IF(LEFT(D12,1)="D","MT-6548","MT-6549")</f>
        <v>MT-6548</v>
      </c>
      <c r="C28" s="63" t="str">
        <f t="shared" si="1"/>
        <v>MT-6548</v>
      </c>
      <c r="D28" s="122" t="str">
        <f>IFERROR( VLOOKUP(C28,Descripciones!$A$2:$B$131,2,FALSE),"")</f>
        <v>Perfil hoja DVH</v>
      </c>
      <c r="E28" s="122"/>
      <c r="F28" s="67">
        <f>2*D7</f>
        <v>8</v>
      </c>
      <c r="G28" s="68">
        <f>SH</f>
        <v>2032</v>
      </c>
      <c r="H28" s="77"/>
      <c r="I28" s="135"/>
      <c r="J28" s="16"/>
      <c r="K28" s="16"/>
      <c r="L28" s="16"/>
      <c r="M28" s="16"/>
      <c r="N28" s="16"/>
      <c r="O28" s="16"/>
      <c r="P28" s="5"/>
      <c r="Q28" s="5"/>
      <c r="R28" s="5"/>
      <c r="S28" s="5"/>
      <c r="T28" s="5"/>
      <c r="U28" s="5"/>
      <c r="V28" s="16"/>
      <c r="W28" s="16"/>
      <c r="X28" s="16"/>
      <c r="Y28" s="16"/>
      <c r="Z28" s="16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</row>
    <row r="29" spans="1:118" s="3" customFormat="1" x14ac:dyDescent="0.2">
      <c r="A29" s="5"/>
      <c r="B29" s="95" t="s">
        <v>111</v>
      </c>
      <c r="C29" s="63" t="str">
        <f t="shared" si="1"/>
        <v>MT-6551</v>
      </c>
      <c r="D29" s="122" t="str">
        <f>IFERROR( VLOOKUP(C29,Descripciones!$A$2:$B$131,2,FALSE),"")</f>
        <v>Perfil cruce de hojas</v>
      </c>
      <c r="E29" s="122"/>
      <c r="F29" s="67">
        <f>2*VLOOKUP($D$7,$O$6:$Q$9,3,FALSE)</f>
        <v>4</v>
      </c>
      <c r="G29" s="68">
        <f>SH</f>
        <v>2032</v>
      </c>
      <c r="H29" s="77"/>
      <c r="I29" s="135"/>
      <c r="J29" s="16"/>
      <c r="K29" s="16"/>
      <c r="L29" s="16"/>
      <c r="M29" s="16"/>
      <c r="N29" s="16"/>
      <c r="O29" s="16"/>
      <c r="P29" s="5"/>
      <c r="Q29" s="5"/>
      <c r="R29" s="5"/>
      <c r="S29" s="5"/>
      <c r="T29" s="5"/>
      <c r="U29" s="5"/>
      <c r="V29" s="16"/>
      <c r="W29" s="16"/>
      <c r="X29" s="16"/>
      <c r="Y29" s="16"/>
      <c r="Z29" s="16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</row>
    <row r="30" spans="1:118" s="1" customFormat="1" x14ac:dyDescent="0.2">
      <c r="A30" s="5"/>
      <c r="B30" s="95" t="s">
        <v>112</v>
      </c>
      <c r="C30" s="63" t="str">
        <f t="shared" si="1"/>
        <v>MT-6550</v>
      </c>
      <c r="D30" s="122" t="str">
        <f>IFERROR( VLOOKUP(C30,Descripciones!$A$2:$B$131,2,FALSE),"")</f>
        <v>Perfi tapa cruce de hojas</v>
      </c>
      <c r="E30" s="122"/>
      <c r="F30" s="67">
        <f>2*VLOOKUP($D$7,$O$6:$Q$9,3,FALSE)</f>
        <v>4</v>
      </c>
      <c r="G30" s="68">
        <f>SH-97</f>
        <v>1935</v>
      </c>
      <c r="H30" s="77"/>
      <c r="I30" s="13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</row>
    <row r="31" spans="1:118" s="1" customFormat="1" x14ac:dyDescent="0.2">
      <c r="A31" s="5"/>
      <c r="B31" s="95" t="s">
        <v>113</v>
      </c>
      <c r="C31" s="63" t="str">
        <f t="shared" si="1"/>
        <v>MT-6544</v>
      </c>
      <c r="D31" s="122" t="str">
        <f>IFERROR( VLOOKUP(C31,Descripciones!$A$2:$B$131,2,FALSE),"")</f>
        <v>Perfil cierre marco lateral</v>
      </c>
      <c r="E31" s="122"/>
      <c r="F31" s="67">
        <v>2</v>
      </c>
      <c r="G31" s="68">
        <f>FH-83</f>
        <v>2017</v>
      </c>
      <c r="H31" s="77"/>
      <c r="I31" s="13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</row>
    <row r="32" spans="1:118" s="1" customFormat="1" x14ac:dyDescent="0.2">
      <c r="A32" s="5"/>
      <c r="B32" s="95" t="s">
        <v>114</v>
      </c>
      <c r="C32" s="63" t="str">
        <f t="shared" si="1"/>
        <v>MT-6545</v>
      </c>
      <c r="D32" s="122" t="str">
        <f>IFERROR( VLOOKUP(C32,Descripciones!$A$2:$B$131,2,FALSE),"")</f>
        <v>Perfil tapa</v>
      </c>
      <c r="E32" s="122"/>
      <c r="F32" s="67">
        <f>IF(OR(D7=O6,D7=O7),2,3)</f>
        <v>3</v>
      </c>
      <c r="G32" s="68">
        <f>FH-83</f>
        <v>2017</v>
      </c>
      <c r="H32" s="77"/>
      <c r="I32" s="13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</row>
    <row r="33" spans="1:118" s="3" customFormat="1" x14ac:dyDescent="0.2">
      <c r="A33" s="5"/>
      <c r="B33" s="95" t="str">
        <f>IF($D$10=$AE$4,"MT-6552","")</f>
        <v>MT-6552</v>
      </c>
      <c r="C33" s="63" t="str">
        <f t="shared" si="1"/>
        <v>MT-6552</v>
      </c>
      <c r="D33" s="122" t="str">
        <f>IFERROR( VLOOKUP(C33,Descripciones!$A$2:$B$131,2,FALSE),"")</f>
        <v>Perfil Refuerzo parante central</v>
      </c>
      <c r="E33" s="122"/>
      <c r="F33" s="67">
        <f>IF(B33&lt;&gt;"",VLOOKUP($D$7,$O$6:$R$9,4,FALSE),"")</f>
        <v>4</v>
      </c>
      <c r="G33" s="68">
        <f>IF(B33&lt;&gt;"",SH-62,"")</f>
        <v>1970</v>
      </c>
      <c r="H33" s="77"/>
      <c r="I33" s="13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</row>
    <row r="34" spans="1:118" s="1" customFormat="1" ht="18" customHeight="1" thickBot="1" x14ac:dyDescent="0.25">
      <c r="A34" s="5"/>
      <c r="B34" s="96" t="str">
        <f>IF(OR($D$7=$O$8,$D$7=$O$9),"MT-6553","")</f>
        <v>MT-6553</v>
      </c>
      <c r="C34" s="69" t="str">
        <f t="shared" si="1"/>
        <v>MT-6553</v>
      </c>
      <c r="D34" s="123" t="str">
        <f>IFERROR( VLOOKUP(C34,Descripciones!$A$2:$B$131,2,FALSE),"")</f>
        <v>Perfil Encuentro central para 4 hojas</v>
      </c>
      <c r="E34" s="123"/>
      <c r="F34" s="70">
        <f>IF(B34&lt;&gt;"",1,"")</f>
        <v>1</v>
      </c>
      <c r="G34" s="71">
        <f>IF(B34&lt;&gt;"",SH-71,"")</f>
        <v>1961</v>
      </c>
      <c r="H34" s="78"/>
      <c r="I34" s="13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</row>
    <row r="35" spans="1:118" s="1" customFormat="1" ht="12.75" customHeight="1" x14ac:dyDescent="0.2">
      <c r="A35" s="5" t="str">
        <f>IF(D11=AD4,"GUI58","GUI59")</f>
        <v>GUI58</v>
      </c>
      <c r="B35" s="99" t="str">
        <f>IF($D$8=Colores!$H$2,VLOOKUP(A35,Colores!$B$2:$D$462,3,FALSE),VLOOKUP(A35,Colores!$B$2:$D$462,2,FALSE))</f>
        <v>GUI58012</v>
      </c>
      <c r="C35" s="48" t="s">
        <v>259</v>
      </c>
      <c r="D35" s="117" t="str">
        <f>IFERROR( VLOOKUP(A35,Descripciones!$A$2:$B$131,2,FALSE),"")</f>
        <v>Conjunto tapa/guia Inf/Sup Derecha</v>
      </c>
      <c r="E35" s="117"/>
      <c r="F35" s="65">
        <f>IF(D7=O6,2,IF(D7=O7,4,IF(D7=O8,2,IF(D7=O9,4,""))))</f>
        <v>2</v>
      </c>
      <c r="G35" s="66"/>
      <c r="H35" s="79"/>
      <c r="I35" s="137" t="s">
        <v>51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5"/>
      <c r="Z35" s="16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</row>
    <row r="36" spans="1:118" s="1" customFormat="1" x14ac:dyDescent="0.2">
      <c r="A36" s="5" t="str">
        <f>IF(OR(D7=O8,D7=O9),IF(A35="GUI58","GUI59","GUI58"),"")</f>
        <v>GUI59</v>
      </c>
      <c r="B36" s="100" t="str">
        <f>IF(A36&lt;&gt;"",IF($D$8=Colores!$H$2,VLOOKUP(A36,Colores!$B$2:$D$462,3,FALSE),VLOOKUP(A36,Colores!$B$2:$D$462,2,FALSE)),"")</f>
        <v>GUI59012</v>
      </c>
      <c r="C36" s="49" t="str">
        <f>IF(B36&lt;&gt;"",B36,"")</f>
        <v>GUI59012</v>
      </c>
      <c r="D36" s="114" t="str">
        <f>IFERROR( VLOOKUP(A36,Descripciones!$A$2:$B$131,2,FALSE),"")</f>
        <v>Conjunto tapa/guia Inf/Sup Izquierda</v>
      </c>
      <c r="E36" s="114"/>
      <c r="F36" s="67">
        <f>IF(A36&lt;&gt;"",F35,"")</f>
        <v>2</v>
      </c>
      <c r="G36" s="68"/>
      <c r="H36" s="77"/>
      <c r="I36" s="138"/>
      <c r="J36" s="16"/>
      <c r="K36" s="16"/>
      <c r="L36" s="16"/>
      <c r="M36" s="16"/>
      <c r="N36" s="16"/>
      <c r="O36" s="16"/>
      <c r="P36" s="16"/>
      <c r="Q36" s="16"/>
      <c r="R36" s="16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</row>
    <row r="37" spans="1:118" s="3" customFormat="1" x14ac:dyDescent="0.2">
      <c r="A37" s="5" t="s">
        <v>19</v>
      </c>
      <c r="B37" s="100" t="str">
        <f>IF($D$8=Colores!$H$2,VLOOKUP(A37,Colores!$B$2:$D$462,3,FALSE),VLOOKUP(A37,Colores!$B$2:$D$462,2,FALSE))</f>
        <v>VDS10012</v>
      </c>
      <c r="C37" s="49" t="str">
        <f>B37</f>
        <v>VDS10012</v>
      </c>
      <c r="D37" s="114" t="str">
        <f>IFERROR( VLOOKUP(A37,Descripciones!$A$2:$B$131,2,FALSE),"")</f>
        <v>Tapon cruce de hojas</v>
      </c>
      <c r="E37" s="114"/>
      <c r="F37" s="67">
        <f>VLOOKUP(D7,O6:R9,3,FALSE)</f>
        <v>2</v>
      </c>
      <c r="G37" s="68"/>
      <c r="H37" s="77"/>
      <c r="I37" s="138"/>
      <c r="J37" s="5"/>
      <c r="K37" s="16"/>
      <c r="L37" s="16"/>
      <c r="M37" s="1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</row>
    <row r="38" spans="1:118" s="1" customFormat="1" x14ac:dyDescent="0.2">
      <c r="A38" s="5" t="s">
        <v>22</v>
      </c>
      <c r="B38" s="100" t="str">
        <f>IF($D$8=Colores!$H$2,VLOOKUP(A38,Colores!$B$2:$D$462,3,FALSE),VLOOKUP(A38,Colores!$B$2:$D$462,2,FALSE))</f>
        <v>CNA06012</v>
      </c>
      <c r="C38" s="49" t="str">
        <f>B38</f>
        <v>CNA06012</v>
      </c>
      <c r="D38" s="114" t="str">
        <f>IFERROR( VLOOKUP(A38,Descripciones!$A$2:$B$131,2,FALSE),"")</f>
        <v>Escuadra de alineamiento 90º</v>
      </c>
      <c r="E38" s="114"/>
      <c r="F38" s="67">
        <f>8*D7</f>
        <v>32</v>
      </c>
      <c r="G38" s="68"/>
      <c r="H38" s="77"/>
      <c r="I38" s="138"/>
      <c r="J38" s="5"/>
      <c r="K38" s="1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</row>
    <row r="39" spans="1:118" s="3" customFormat="1" x14ac:dyDescent="0.2">
      <c r="A39" s="5" t="s">
        <v>41</v>
      </c>
      <c r="B39" s="100" t="str">
        <f>IF($D$8=Colores!$H$2,VLOOKUP(A39,Colores!$B$2:$D$462,3,FALSE),VLOOKUP(A39,Colores!$B$2:$D$462,2,FALSE))</f>
        <v>GUI62012</v>
      </c>
      <c r="C39" s="49" t="str">
        <f>B39</f>
        <v>GUI62012</v>
      </c>
      <c r="D39" s="114" t="str">
        <f>IFERROR( VLOOKUP(A39,Descripciones!$A$2:$B$131,2,FALSE),"")</f>
        <v>Guia hoja</v>
      </c>
      <c r="E39" s="114"/>
      <c r="F39" s="67">
        <f>4*D7</f>
        <v>16</v>
      </c>
      <c r="G39" s="68"/>
      <c r="H39" s="77"/>
      <c r="I39" s="138"/>
      <c r="J39" s="5"/>
      <c r="K39" s="1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</row>
    <row r="40" spans="1:118" s="1" customFormat="1" x14ac:dyDescent="0.2">
      <c r="A40" s="5" t="s">
        <v>115</v>
      </c>
      <c r="B40" s="100" t="str">
        <f>IF($D$8=Colores!$H$2,VLOOKUP(A40,Colores!$B$2:$D$462,3,FALSE),VLOOKUP(A40,Colores!$B$2:$D$462,2,FALSE))</f>
        <v>ME97</v>
      </c>
      <c r="C40" s="49" t="str">
        <f>B40</f>
        <v>ME97</v>
      </c>
      <c r="D40" s="114" t="str">
        <f>IFERROR( VLOOKUP(A40,Descripciones!$A$2:$B$131,2,FALSE),"")</f>
        <v>Escuadra de tracción</v>
      </c>
      <c r="E40" s="114"/>
      <c r="F40" s="67">
        <f>4*D7</f>
        <v>16</v>
      </c>
      <c r="G40" s="68"/>
      <c r="H40" s="77"/>
      <c r="I40" s="138"/>
      <c r="J40" s="5"/>
      <c r="K40" s="1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</row>
    <row r="41" spans="1:118" s="1" customFormat="1" x14ac:dyDescent="0.2">
      <c r="A41" s="5" t="s">
        <v>27</v>
      </c>
      <c r="B41" s="100" t="str">
        <f>IF($D$8=Colores!$H$2,VLOOKUP(A41,Colores!$B$2:$D$462,3,FALSE),VLOOKUP(A41,Colores!$B$2:$D$462,2,FALSE))</f>
        <v>VDD01012</v>
      </c>
      <c r="C41" s="49" t="str">
        <f>B41</f>
        <v>VDD01012</v>
      </c>
      <c r="D41" s="114" t="str">
        <f>IFERROR( VLOOKUP(A41,Descripciones!$A$2:$B$131,2,FALSE),"")</f>
        <v>Boca desagüe marco</v>
      </c>
      <c r="E41" s="114"/>
      <c r="F41" s="67">
        <f>VLOOKUP(D7,O4:R9,3,FALSE)</f>
        <v>2</v>
      </c>
      <c r="G41" s="68"/>
      <c r="H41" s="77"/>
      <c r="I41" s="13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</row>
    <row r="42" spans="1:118" s="1" customFormat="1" x14ac:dyDescent="0.2">
      <c r="A42" s="5" t="s">
        <v>117</v>
      </c>
      <c r="B42" s="100" t="str">
        <f>IF($D$8=Colores!$H$2,VLOOKUP(A42,Colores!$B$2:$D$462,3,FALSE),VLOOKUP(A42,Colores!$B$2:$D$462,2,FALSE))</f>
        <v>MT-131</v>
      </c>
      <c r="C42" s="49" t="str">
        <f>B42</f>
        <v>MT-131</v>
      </c>
      <c r="D42" s="114" t="str">
        <f>IFERROR( VLOOKUP(A42,Descripciones!$A$2:$B$131,2,FALSE),"")</f>
        <v>Protector salida de agua</v>
      </c>
      <c r="E42" s="114"/>
      <c r="F42" s="67">
        <v>2</v>
      </c>
      <c r="G42" s="68"/>
      <c r="H42" s="77"/>
      <c r="I42" s="13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</row>
    <row r="43" spans="1:118" s="1" customFormat="1" x14ac:dyDescent="0.2">
      <c r="A43" s="5" t="s">
        <v>118</v>
      </c>
      <c r="B43" s="100" t="str">
        <f>IF($D$8=Colores!$H$2,VLOOKUP(A43,Colores!$B$2:$D$462,3,FALSE),VLOOKUP(A43,Colores!$B$2:$D$462,2,FALSE))</f>
        <v>MT1</v>
      </c>
      <c r="C43" s="49" t="str">
        <f>B43</f>
        <v>MT1</v>
      </c>
      <c r="D43" s="114" t="str">
        <f>IFERROR( VLOOKUP(A43,Descripciones!$A$2:$B$131,2,FALSE),"")</f>
        <v>Tornillo PARKER Nº10 X 3/4"</v>
      </c>
      <c r="E43" s="114"/>
      <c r="F43" s="67">
        <f>IF(OR(D7=O7,D7=O9),12,8)</f>
        <v>8</v>
      </c>
      <c r="G43" s="68"/>
      <c r="H43" s="77"/>
      <c r="I43" s="13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</row>
    <row r="44" spans="1:118" s="1" customFormat="1" x14ac:dyDescent="0.2">
      <c r="A44" s="5" t="s">
        <v>120</v>
      </c>
      <c r="B44" s="100" t="str">
        <f>IF($D$8=Colores!$H$2,VLOOKUP(A44,Colores!$B$2:$D$462,3,FALSE),VLOOKUP(A44,Colores!$B$2:$D$462,2,FALSE))</f>
        <v>MT14</v>
      </c>
      <c r="C44" s="49" t="str">
        <f>B44</f>
        <v>MT14</v>
      </c>
      <c r="D44" s="114" t="str">
        <f>IFERROR( VLOOKUP(A44,Descripciones!$A$2:$B$131,2,FALSE),"")</f>
        <v>Tornillos SO 7049 3.5X13 A2(DIN 7981)</v>
      </c>
      <c r="E44" s="114"/>
      <c r="F44" s="67">
        <f>(SH/1000*4)*(VLOOKUP(D7,O6:Q9,3,FALSE)*2)</f>
        <v>32.512</v>
      </c>
      <c r="G44" s="68"/>
      <c r="H44" s="77"/>
      <c r="I44" s="13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</row>
    <row r="45" spans="1:118" s="1" customFormat="1" x14ac:dyDescent="0.2">
      <c r="A45" s="5" t="str">
        <f>IF(OR(D7=O6,D7=O8),"VDS21","VDS20")</f>
        <v>VDS21</v>
      </c>
      <c r="B45" s="100" t="str">
        <f>IF($D$8=Colores!$H$2,VLOOKUP(A45,Colores!$B$2:$D$462,3,FALSE),VLOOKUP(A45,Colores!$B$2:$D$462,2,FALSE))</f>
        <v>VDS21</v>
      </c>
      <c r="C45" s="49" t="str">
        <f>B45</f>
        <v>VDS21</v>
      </c>
      <c r="D45" s="114" t="str">
        <f>IFERROR( VLOOKUP(A45,Descripciones!$A$2:$B$131,2,FALSE),"")</f>
        <v>Junta lateral marco inferior</v>
      </c>
      <c r="E45" s="114"/>
      <c r="F45" s="67">
        <v>1</v>
      </c>
      <c r="G45" s="68"/>
      <c r="H45" s="77"/>
      <c r="I45" s="13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</row>
    <row r="46" spans="1:118" x14ac:dyDescent="0.2">
      <c r="A46" s="5" t="str">
        <f>IF(OR(D8=O7,D8=O9),"VDS19","VDS22")</f>
        <v>VDS22</v>
      </c>
      <c r="B46" s="100" t="str">
        <f>IF($D$8=Colores!$H$2,VLOOKUP(A46,Colores!$B$2:$D$462,3,FALSE),VLOOKUP(A46,Colores!$B$2:$D$462,2,FALSE))</f>
        <v>VDS22</v>
      </c>
      <c r="C46" s="49" t="str">
        <f>B46</f>
        <v>VDS22</v>
      </c>
      <c r="D46" s="114" t="str">
        <f>IFERROR( VLOOKUP(A46,Descripciones!$A$2:$B$131,2,FALSE),"")</f>
        <v>Junta estanqueidad marco superior</v>
      </c>
      <c r="E46" s="114"/>
      <c r="F46" s="67">
        <v>1</v>
      </c>
      <c r="G46" s="68"/>
      <c r="H46" s="77"/>
      <c r="I46" s="13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118" s="1" customFormat="1" x14ac:dyDescent="0.2">
      <c r="A47" s="5" t="str">
        <f>IF($D$10=$AE$4,"MT312","")</f>
        <v>MT312</v>
      </c>
      <c r="B47" s="100" t="str">
        <f>IF(A47&lt;&gt;"",IF($D$8=Colores!$H$2,VLOOKUP(A47,Colores!$B$2:$D$462,3,FALSE),VLOOKUP(A47,Colores!$B$2:$D$462,2,FALSE)),"")</f>
        <v>MT312</v>
      </c>
      <c r="C47" s="49" t="str">
        <f>B47</f>
        <v>MT312</v>
      </c>
      <c r="D47" s="114" t="str">
        <f>IFERROR( VLOOKUP(A47,Descripciones!$A$2:$B$131,2,FALSE),"")</f>
        <v>Tapa refuerzo</v>
      </c>
      <c r="E47" s="114"/>
      <c r="F47" s="67">
        <f>IF(B47&lt;&gt;"",2*F33,"")</f>
        <v>8</v>
      </c>
      <c r="G47" s="68"/>
      <c r="H47" s="77"/>
      <c r="I47" s="13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</row>
    <row r="48" spans="1:118" s="1" customFormat="1" x14ac:dyDescent="0.2">
      <c r="A48" s="5" t="str">
        <f>IF(OR(D7=O8,D7=O9),"GUI65","")</f>
        <v>GUI65</v>
      </c>
      <c r="B48" s="100" t="str">
        <f>IF(A48&lt;&gt;"",IF($D$8=Colores!$H$2,VLOOKUP(A48,Colores!$B$2:$D$462,3,FALSE),VLOOKUP(A48,Colores!$B$2:$D$462,2,FALSE)),"")</f>
        <v>GUI65012</v>
      </c>
      <c r="C48" s="49" t="str">
        <f>IF(B48&lt;&gt;"",B48,"")</f>
        <v>GUI65012</v>
      </c>
      <c r="D48" s="114" t="str">
        <f>IFERROR( VLOOKUP(A48,Descripciones!$A$2:$B$131,2,FALSE),"")</f>
        <v>Conjunto intermedio (4 hojas)</v>
      </c>
      <c r="E48" s="114"/>
      <c r="F48" s="67">
        <f>IF(B48&lt;&gt;"",1,"")</f>
        <v>1</v>
      </c>
      <c r="G48" s="68"/>
      <c r="H48" s="77"/>
      <c r="I48" s="13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2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</row>
    <row r="49" spans="1:120" s="3" customFormat="1" ht="22.5" customHeight="1" thickBot="1" x14ac:dyDescent="0.25">
      <c r="A49" s="5" t="str">
        <f>IF(OR(D7=O8,D7=O9),"ADP01A006","")</f>
        <v>ADP01A006</v>
      </c>
      <c r="B49" s="101" t="str">
        <f>IF(A49&lt;&gt;"",IF($D$8=Colores!$H$2,VLOOKUP(A49,Colores!$B$2:$D$462,3,FALSE),VLOOKUP(A49,Colores!$B$2:$D$462,2,FALSE)),"")</f>
        <v>ADP01A006</v>
      </c>
      <c r="C49" s="50" t="str">
        <f>IF(B49&lt;&gt;"",B49,"")</f>
        <v>ADP01A006</v>
      </c>
      <c r="D49" s="115" t="str">
        <f>IFERROR( VLOOKUP(A49,Descripciones!$A$2:$B$131,2,FALSE),"")</f>
        <v>Fijación perfil 4 hojas</v>
      </c>
      <c r="E49" s="115"/>
      <c r="F49" s="70">
        <f>IF(B49&lt;&gt;"",IF(SH&lt;1000,2,SH/500),"")</f>
        <v>4.0640000000000001</v>
      </c>
      <c r="G49" s="71"/>
      <c r="H49" s="78"/>
      <c r="I49" s="139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2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</row>
    <row r="50" spans="1:120" s="3" customFormat="1" ht="12.75" customHeight="1" x14ac:dyDescent="0.2">
      <c r="A50" s="5"/>
      <c r="B50" s="94" t="s">
        <v>138</v>
      </c>
      <c r="C50" s="64" t="str">
        <f>B50</f>
        <v>FIT02</v>
      </c>
      <c r="D50" s="117" t="str">
        <f>IFERROR( VLOOKUP(B50,Descripciones!$A$2:$B$131,2,FALSE),"")</f>
        <v>Felpa cruce de hojas</v>
      </c>
      <c r="E50" s="117"/>
      <c r="F50" s="65">
        <v>1</v>
      </c>
      <c r="G50" s="66">
        <f>SH*VLOOKUP(D7,$O$6:$X$9,5,FALSE)</f>
        <v>8128</v>
      </c>
      <c r="H50" s="79"/>
      <c r="I50" s="131" t="s">
        <v>52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2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</row>
    <row r="51" spans="1:120" s="3" customFormat="1" x14ac:dyDescent="0.2">
      <c r="A51" s="5"/>
      <c r="B51" s="95" t="s">
        <v>2</v>
      </c>
      <c r="C51" s="63" t="str">
        <f>B51</f>
        <v>BOR05</v>
      </c>
      <c r="D51" s="114" t="str">
        <f>IFERROR( VLOOKUP(B51,Descripciones!$A$2:$B$131,2,FALSE),"")</f>
        <v>Burlete de hermeticidad hoja</v>
      </c>
      <c r="E51" s="114"/>
      <c r="F51" s="67">
        <v>1</v>
      </c>
      <c r="G51" s="68">
        <f xml:space="preserve"> ((SW)*VLOOKUP(D7,$O$6:$U$9,6,FALSE))+((SH)*VLOOKUP(D7,$O$6:$U$9,7,FALSE))</f>
        <v>24592</v>
      </c>
      <c r="H51" s="77"/>
      <c r="I51" s="13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2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</row>
    <row r="52" spans="1:120" s="3" customFormat="1" x14ac:dyDescent="0.2">
      <c r="A52" s="5"/>
      <c r="B52" s="95" t="str">
        <f>VLOOKUP($D$12,$AF$4:$AH$13,3,FALSE)</f>
        <v>MB31</v>
      </c>
      <c r="C52" s="63" t="str">
        <f>B52</f>
        <v>MB31</v>
      </c>
      <c r="D52" s="114" t="str">
        <f>IFERROR( VLOOKUP(B52,Descripciones!$A$2:$B$131,2,FALSE),"")</f>
        <v>Burlete cuña 4 mm</v>
      </c>
      <c r="E52" s="114"/>
      <c r="F52" s="67">
        <v>1</v>
      </c>
      <c r="G52" s="68">
        <f>SH*($D$7*4)+SW*($D$7*4)</f>
        <v>40848</v>
      </c>
      <c r="H52" s="77"/>
      <c r="I52" s="13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</row>
    <row r="53" spans="1:120" x14ac:dyDescent="0.2">
      <c r="B53" s="95" t="str">
        <f>VLOOKUP($D$12,$AF$4:$AH$13,2,FALSE)</f>
        <v>MB30</v>
      </c>
      <c r="C53" s="63" t="str">
        <f>B53</f>
        <v>MB30</v>
      </c>
      <c r="D53" s="114" t="str">
        <f>IFERROR( VLOOKUP(B53,Descripciones!$A$2:$B$131,2,FALSE),"")</f>
        <v>Burlete cuña 3 mm</v>
      </c>
      <c r="E53" s="114"/>
      <c r="F53" s="67">
        <v>1</v>
      </c>
      <c r="G53" s="68">
        <f>SH*($D$7*4)+SW*($D$7*4)</f>
        <v>40848</v>
      </c>
      <c r="H53" s="77"/>
      <c r="I53" s="132"/>
      <c r="K53" s="5"/>
      <c r="L53" s="5"/>
      <c r="M53" s="5"/>
      <c r="N53" s="5"/>
      <c r="O53" s="5"/>
      <c r="P53" s="28"/>
      <c r="Q53" s="34" t="s">
        <v>79</v>
      </c>
      <c r="R53" s="34" t="s">
        <v>77</v>
      </c>
      <c r="S53" s="35" t="s">
        <v>76</v>
      </c>
      <c r="T53" s="35" t="s">
        <v>78</v>
      </c>
      <c r="U53" s="35" t="s">
        <v>80</v>
      </c>
      <c r="V53" s="35" t="s">
        <v>142</v>
      </c>
      <c r="W53" s="28" t="s">
        <v>141</v>
      </c>
      <c r="X53" s="28" t="s">
        <v>143</v>
      </c>
      <c r="Y53" s="28" t="s">
        <v>144</v>
      </c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DO53" s="5"/>
      <c r="DP53" s="5"/>
    </row>
    <row r="54" spans="1:120" ht="16.5" customHeight="1" thickBot="1" x14ac:dyDescent="0.25">
      <c r="B54" s="96"/>
      <c r="C54" s="69"/>
      <c r="D54" s="115" t="str">
        <f>IFERROR( VLOOKUP(A54,Descripciones!$A$2:$B$131,2,FALSE),"")</f>
        <v/>
      </c>
      <c r="E54" s="115"/>
      <c r="F54" s="70"/>
      <c r="G54" s="71"/>
      <c r="H54" s="78"/>
      <c r="I54" s="133"/>
      <c r="K54" s="5"/>
      <c r="L54" s="5"/>
      <c r="M54" s="5"/>
      <c r="N54" s="5"/>
      <c r="O54" s="5"/>
      <c r="P54" s="28" t="s">
        <v>63</v>
      </c>
      <c r="Q54" s="35">
        <v>2</v>
      </c>
      <c r="R54" s="35">
        <v>1</v>
      </c>
      <c r="S54" s="35">
        <v>1</v>
      </c>
      <c r="T54" s="35">
        <v>1</v>
      </c>
      <c r="U54" s="35">
        <v>2</v>
      </c>
      <c r="V54" s="35">
        <v>1</v>
      </c>
      <c r="W54" s="28">
        <f>FW-54</f>
        <v>1946</v>
      </c>
      <c r="X54" s="28"/>
      <c r="Y54" s="28">
        <f>FW-54</f>
        <v>1946</v>
      </c>
      <c r="Z54" s="5">
        <v>1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DO54" s="5"/>
      <c r="DP54" s="5"/>
    </row>
    <row r="55" spans="1:120" ht="12.75" hidden="1" customHeight="1" x14ac:dyDescent="0.25">
      <c r="B55" s="94" t="str">
        <f>CONCATENATE("V",D12," ANCHO")</f>
        <v>VDOBLE 21 ANCHO</v>
      </c>
      <c r="C55" s="97"/>
      <c r="D55" s="98">
        <f>D7</f>
        <v>4</v>
      </c>
      <c r="E55" s="98">
        <f>SW-128</f>
        <v>393</v>
      </c>
      <c r="F55" s="89"/>
      <c r="G55" s="90"/>
      <c r="H55" s="90"/>
      <c r="I55" s="108" t="s">
        <v>56</v>
      </c>
      <c r="K55" s="5"/>
      <c r="L55" s="5"/>
      <c r="M55" s="5"/>
      <c r="N55" s="5"/>
      <c r="O55" s="5"/>
      <c r="P55" s="30" t="s">
        <v>71</v>
      </c>
      <c r="Q55" s="35">
        <v>4</v>
      </c>
      <c r="R55" s="35">
        <v>2</v>
      </c>
      <c r="S55" s="35">
        <v>2</v>
      </c>
      <c r="T55" s="35">
        <v>1</v>
      </c>
      <c r="U55" s="35">
        <v>4</v>
      </c>
      <c r="V55" s="35">
        <v>1</v>
      </c>
      <c r="W55" s="28">
        <f>FW-41</f>
        <v>1959</v>
      </c>
      <c r="X55" s="28"/>
      <c r="Y55" s="28">
        <f>FW-68</f>
        <v>1932</v>
      </c>
      <c r="Z55" s="5">
        <v>2</v>
      </c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DO55" s="5"/>
      <c r="DP55" s="5"/>
    </row>
    <row r="56" spans="1:120" s="3" customFormat="1" ht="13.5" hidden="1" thickBot="1" x14ac:dyDescent="0.25">
      <c r="A56" s="5"/>
      <c r="B56" s="95" t="str">
        <f>CONCATENATE("V",D12," ALTO")</f>
        <v>VDOBLE 21 ALTO</v>
      </c>
      <c r="C56" s="62"/>
      <c r="D56" s="51">
        <f>D7</f>
        <v>4</v>
      </c>
      <c r="E56" s="51">
        <f>SH-128</f>
        <v>1904</v>
      </c>
      <c r="F56" s="67"/>
      <c r="G56" s="68"/>
      <c r="H56" s="68"/>
      <c r="I56" s="109"/>
      <c r="J56" s="5"/>
      <c r="K56" s="5"/>
      <c r="L56" s="5"/>
      <c r="M56" s="5"/>
      <c r="N56" s="5"/>
      <c r="O56" s="5"/>
      <c r="P56" s="28" t="s">
        <v>72</v>
      </c>
      <c r="Q56" s="35">
        <v>4</v>
      </c>
      <c r="R56" s="35">
        <v>4</v>
      </c>
      <c r="S56" s="35">
        <v>4</v>
      </c>
      <c r="T56" s="35">
        <v>3</v>
      </c>
      <c r="U56" s="35">
        <v>4</v>
      </c>
      <c r="V56" s="35">
        <v>1</v>
      </c>
      <c r="W56" s="28">
        <f>FW-68</f>
        <v>1932</v>
      </c>
      <c r="X56" s="28">
        <v>1</v>
      </c>
      <c r="Y56" s="28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</row>
    <row r="57" spans="1:120" ht="13.5" hidden="1" thickBot="1" x14ac:dyDescent="0.25">
      <c r="B57" s="95" t="str">
        <f>CONCATENATE("V",D12)</f>
        <v>VDOBLE 21</v>
      </c>
      <c r="C57" s="62" t="str">
        <f>B57</f>
        <v>VDOBLE 21</v>
      </c>
      <c r="D57" s="52"/>
      <c r="E57" s="52"/>
      <c r="F57" s="67">
        <f>D7</f>
        <v>4</v>
      </c>
      <c r="G57" s="68">
        <f>SW-128</f>
        <v>393</v>
      </c>
      <c r="H57" s="68">
        <f>SH-128</f>
        <v>1904</v>
      </c>
      <c r="I57" s="109"/>
      <c r="K57" s="5"/>
      <c r="L57" s="5"/>
      <c r="M57" s="5"/>
      <c r="N57" s="5"/>
      <c r="O57" s="5"/>
      <c r="P57" s="28" t="s">
        <v>64</v>
      </c>
      <c r="Q57" s="35">
        <v>2</v>
      </c>
      <c r="R57" s="35">
        <v>2</v>
      </c>
      <c r="S57" s="35">
        <v>2</v>
      </c>
      <c r="T57" s="35">
        <v>2</v>
      </c>
      <c r="U57" s="35">
        <v>2</v>
      </c>
      <c r="V57" s="35">
        <v>2</v>
      </c>
      <c r="W57" s="28">
        <f>FW-54</f>
        <v>1946</v>
      </c>
      <c r="X57" s="28"/>
      <c r="Y57" s="28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DO57" s="5"/>
      <c r="DP57" s="5"/>
    </row>
    <row r="58" spans="1:120" ht="33" hidden="1" customHeight="1" x14ac:dyDescent="0.25">
      <c r="B58" s="106">
        <v>538297</v>
      </c>
      <c r="C58" s="62" t="str">
        <f>CONCATENATE("RO_",B58)</f>
        <v>RO_538297</v>
      </c>
      <c r="D58" s="52"/>
      <c r="E58" s="52"/>
      <c r="F58" s="67">
        <f>2*D7</f>
        <v>8</v>
      </c>
      <c r="G58" s="68"/>
      <c r="H58" s="72"/>
      <c r="I58" s="109"/>
      <c r="K58" s="5"/>
      <c r="L58" s="5"/>
      <c r="M58" s="5"/>
      <c r="N58" s="5"/>
      <c r="O58" s="5"/>
      <c r="P58" s="28" t="s">
        <v>139</v>
      </c>
      <c r="Q58" s="35">
        <v>3</v>
      </c>
      <c r="R58" s="35">
        <v>2</v>
      </c>
      <c r="S58" s="35">
        <v>2</v>
      </c>
      <c r="T58" s="35">
        <v>2</v>
      </c>
      <c r="U58" s="35">
        <v>2</v>
      </c>
      <c r="V58" s="35">
        <v>2</v>
      </c>
      <c r="W58" s="28">
        <f>FW-54</f>
        <v>1946</v>
      </c>
      <c r="X58" s="28"/>
      <c r="Y58" s="28">
        <f>FW-54</f>
        <v>1946</v>
      </c>
      <c r="Z58" s="5">
        <v>1</v>
      </c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DO58" s="5"/>
      <c r="DP58" s="5"/>
    </row>
    <row r="59" spans="1:120" ht="13.5" hidden="1" customHeight="1" thickBot="1" x14ac:dyDescent="0.25">
      <c r="B59" s="107">
        <v>538303</v>
      </c>
      <c r="C59" s="73" t="str">
        <f>CONCATENATE("RO_",B59)</f>
        <v>RO_538303</v>
      </c>
      <c r="D59" s="53"/>
      <c r="E59" s="53"/>
      <c r="F59" s="74">
        <f>8*D7</f>
        <v>32</v>
      </c>
      <c r="G59" s="75"/>
      <c r="H59" s="76"/>
      <c r="I59" s="110"/>
      <c r="K59" s="5"/>
      <c r="L59" s="5"/>
      <c r="M59" s="5"/>
      <c r="N59" s="5"/>
      <c r="O59" s="5"/>
      <c r="P59" s="28" t="s">
        <v>73</v>
      </c>
      <c r="Q59" s="35">
        <v>3</v>
      </c>
      <c r="R59" s="35">
        <v>3</v>
      </c>
      <c r="S59" s="35">
        <v>3</v>
      </c>
      <c r="T59" s="35">
        <v>2</v>
      </c>
      <c r="U59" s="35">
        <v>4</v>
      </c>
      <c r="V59" s="35">
        <v>2</v>
      </c>
      <c r="W59" s="28">
        <f>FW-54</f>
        <v>1946</v>
      </c>
      <c r="X59" s="28">
        <v>1</v>
      </c>
      <c r="Y59" s="28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DO59" s="5"/>
      <c r="DP59" s="5"/>
    </row>
    <row r="60" spans="1:120" ht="12.75" customHeight="1" x14ac:dyDescent="0.2">
      <c r="B60" s="31">
        <v>378338</v>
      </c>
      <c r="C60" s="150">
        <f>B60</f>
        <v>378338</v>
      </c>
      <c r="D60" s="116" t="str">
        <f>IFERROR( VLOOKUP(B60,Descripciones!$A$2:$B$131,2,FALSE),"")</f>
        <v>Mecanismo manija</v>
      </c>
      <c r="E60" s="116"/>
      <c r="F60" s="66">
        <f>VLOOKUP($D$4,$P$54:$R$62,3,FALSE)</f>
        <v>4</v>
      </c>
      <c r="G60" s="66"/>
      <c r="H60" s="79"/>
      <c r="I60" s="118" t="s">
        <v>81</v>
      </c>
      <c r="K60" s="5"/>
      <c r="L60" s="5"/>
      <c r="M60" s="5"/>
      <c r="N60" s="5"/>
      <c r="O60" s="5"/>
      <c r="P60" s="28" t="s">
        <v>74</v>
      </c>
      <c r="Q60" s="35">
        <v>3</v>
      </c>
      <c r="R60" s="35">
        <v>2</v>
      </c>
      <c r="S60" s="35">
        <v>2</v>
      </c>
      <c r="T60" s="35">
        <v>2</v>
      </c>
      <c r="U60" s="35">
        <v>4</v>
      </c>
      <c r="V60" s="35">
        <v>1</v>
      </c>
      <c r="W60" s="28">
        <f>FW-68</f>
        <v>1932</v>
      </c>
      <c r="X60" s="28"/>
      <c r="Y60" s="28">
        <f>FW-41</f>
        <v>1959</v>
      </c>
      <c r="Z60" s="5">
        <v>1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DO60" s="5"/>
      <c r="DP60" s="5"/>
    </row>
    <row r="61" spans="1:120" x14ac:dyDescent="0.2">
      <c r="B61" s="32">
        <v>783171</v>
      </c>
      <c r="C61" s="29">
        <f>B61</f>
        <v>783171</v>
      </c>
      <c r="D61" s="112" t="str">
        <f>IFERROR( VLOOKUP(B61,Descripciones!$A$2:$B$131,2,FALSE),"")</f>
        <v>Kit carros alzantes</v>
      </c>
      <c r="E61" s="112"/>
      <c r="F61" s="68">
        <f>VLOOKUP($D$4,$P$54:$S$62,4,FALSE)</f>
        <v>4</v>
      </c>
      <c r="G61" s="68"/>
      <c r="H61" s="77"/>
      <c r="I61" s="119"/>
      <c r="K61" s="5"/>
      <c r="L61" s="5"/>
      <c r="M61" s="5"/>
      <c r="N61" s="5"/>
      <c r="O61" s="5"/>
      <c r="P61" s="28" t="s">
        <v>140</v>
      </c>
      <c r="Q61" s="35">
        <v>6</v>
      </c>
      <c r="R61" s="35">
        <v>4</v>
      </c>
      <c r="S61" s="35">
        <v>4</v>
      </c>
      <c r="T61" s="35">
        <v>3</v>
      </c>
      <c r="U61" s="35">
        <v>8</v>
      </c>
      <c r="V61" s="35">
        <v>2</v>
      </c>
      <c r="W61" s="28">
        <f>FW-41</f>
        <v>1959</v>
      </c>
      <c r="X61" s="28"/>
      <c r="Y61" s="28">
        <f>FW-68</f>
        <v>1932</v>
      </c>
      <c r="Z61" s="5">
        <v>2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DO61" s="5"/>
      <c r="DP61" s="5"/>
    </row>
    <row r="62" spans="1:120" x14ac:dyDescent="0.2">
      <c r="B62" s="32">
        <v>783173</v>
      </c>
      <c r="C62" s="29">
        <f>B62</f>
        <v>783173</v>
      </c>
      <c r="D62" s="112" t="str">
        <f>IFERROR( VLOOKUP(B62,Descripciones!$A$2:$B$131,2,FALSE),"")</f>
        <v>Kit tope hoja</v>
      </c>
      <c r="E62" s="112"/>
      <c r="F62" s="68">
        <f>VLOOKUP($D$4,$P$54:$S$62,4,FALSE)</f>
        <v>4</v>
      </c>
      <c r="G62" s="68"/>
      <c r="H62" s="77"/>
      <c r="I62" s="119"/>
      <c r="K62" s="5"/>
      <c r="L62" s="5"/>
      <c r="M62" s="5"/>
      <c r="N62" s="5"/>
      <c r="O62" s="5"/>
      <c r="P62" s="28" t="s">
        <v>75</v>
      </c>
      <c r="Q62" s="35">
        <v>6</v>
      </c>
      <c r="R62" s="35">
        <v>6</v>
      </c>
      <c r="S62" s="35">
        <v>6</v>
      </c>
      <c r="T62" s="35">
        <v>3</v>
      </c>
      <c r="U62" s="35">
        <v>8</v>
      </c>
      <c r="V62" s="35">
        <v>1</v>
      </c>
      <c r="W62" s="28">
        <f>FW-68</f>
        <v>1932</v>
      </c>
      <c r="X62" s="28">
        <v>2</v>
      </c>
      <c r="Y62" s="28"/>
      <c r="Z62" s="16"/>
      <c r="AA62" s="16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DO62" s="5"/>
      <c r="DP62" s="5"/>
    </row>
    <row r="63" spans="1:120" s="3" customFormat="1" x14ac:dyDescent="0.2">
      <c r="A63" s="5"/>
      <c r="B63" s="32">
        <v>331012</v>
      </c>
      <c r="C63" s="29">
        <f>B63</f>
        <v>331012</v>
      </c>
      <c r="D63" s="112" t="str">
        <f>IFERROR( VLOOKUP(B63,Descripciones!$A$2:$B$131,2,FALSE),"")</f>
        <v>Reenvío de Ángulo</v>
      </c>
      <c r="E63" s="112"/>
      <c r="F63" s="68">
        <f>VLOOKUP($D$4,$P$54:$R$62,3,FALSE)</f>
        <v>4</v>
      </c>
      <c r="G63" s="68"/>
      <c r="H63" s="77"/>
      <c r="I63" s="119"/>
      <c r="J63" s="5"/>
      <c r="K63" s="5"/>
      <c r="L63" s="5"/>
      <c r="M63" s="5"/>
      <c r="N63" s="5"/>
      <c r="O63" s="5"/>
      <c r="P63" s="5"/>
      <c r="Q63" s="5"/>
      <c r="S63" s="16"/>
      <c r="T63" s="16"/>
      <c r="U63" s="16"/>
      <c r="V63" s="5"/>
      <c r="W63" s="16"/>
      <c r="X63" s="16"/>
      <c r="Y63" s="16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</row>
    <row r="64" spans="1:120" x14ac:dyDescent="0.2">
      <c r="B64" s="32">
        <v>331013</v>
      </c>
      <c r="C64" s="29">
        <f>B64</f>
        <v>331013</v>
      </c>
      <c r="D64" s="112" t="str">
        <f>IFERROR( VLOOKUP(B64,Descripciones!$A$2:$B$131,2,FALSE),"")</f>
        <v>Reenvío de Ángulo</v>
      </c>
      <c r="E64" s="112"/>
      <c r="F64" s="68">
        <f>VLOOKUP($D$4,$P$54:$R$62,3,FALSE)</f>
        <v>4</v>
      </c>
      <c r="G64" s="68"/>
      <c r="H64" s="77"/>
      <c r="I64" s="119"/>
      <c r="J64" s="16"/>
      <c r="K64" s="5"/>
      <c r="L64" s="5"/>
      <c r="M64" s="5"/>
      <c r="N64" s="16"/>
      <c r="O64" s="16"/>
      <c r="P64" s="5"/>
      <c r="Q64" s="5"/>
      <c r="R64" s="5"/>
      <c r="S64" s="16"/>
      <c r="T64" s="16"/>
      <c r="U64" s="1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118" x14ac:dyDescent="0.2">
      <c r="B65" s="32">
        <v>221772</v>
      </c>
      <c r="C65" s="29">
        <f>B65</f>
        <v>221772</v>
      </c>
      <c r="D65" s="112" t="str">
        <f>IFERROR( VLOOKUP(B65,Descripciones!$A$2:$B$131,2,FALSE),"")</f>
        <v>Horquilla</v>
      </c>
      <c r="E65" s="112"/>
      <c r="F65" s="68">
        <f>VLOOKUP($D$4,$P$54:$R$62,3,FALSE)</f>
        <v>4</v>
      </c>
      <c r="G65" s="68"/>
      <c r="H65" s="77"/>
      <c r="I65" s="119"/>
      <c r="K65" s="5"/>
      <c r="L65" s="16"/>
      <c r="M65" s="16"/>
      <c r="N65" s="5"/>
      <c r="O65" s="5"/>
      <c r="P65" s="16"/>
      <c r="Q65" s="16"/>
      <c r="R65" s="16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118" x14ac:dyDescent="0.2">
      <c r="B66" s="32">
        <v>212765</v>
      </c>
      <c r="C66" s="29">
        <f>B66</f>
        <v>212765</v>
      </c>
      <c r="D66" s="112" t="str">
        <f>IFERROR( VLOOKUP(B66,Descripciones!$A$2:$B$131,2,FALSE),"")</f>
        <v>Escuadra distanciadora</v>
      </c>
      <c r="E66" s="112"/>
      <c r="F66" s="68">
        <f>VLOOKUP($D$4,$P$54:$R$62,3,FALSE)</f>
        <v>4</v>
      </c>
      <c r="G66" s="68"/>
      <c r="H66" s="77"/>
      <c r="I66" s="119"/>
      <c r="K66" s="16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118" x14ac:dyDescent="0.2">
      <c r="B67" s="32">
        <v>783172</v>
      </c>
      <c r="C67" s="29">
        <f>B67</f>
        <v>783172</v>
      </c>
      <c r="D67" s="112" t="str">
        <f>IFERROR( VLOOKUP(B67,Descripciones!$A$2:$B$131,2,FALSE),"")</f>
        <v>Gancho</v>
      </c>
      <c r="E67" s="112"/>
      <c r="F67" s="68">
        <f>(IF(SH&lt;1400,2,IF(AND(SH&gt;1400,SH&lt;2100),3,IF(SH&gt;=2100,4,"")))*VLOOKUP($D$4,$P$54:$T$62,5,FALSE))</f>
        <v>9</v>
      </c>
      <c r="G67" s="68"/>
      <c r="H67" s="77"/>
      <c r="I67" s="119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118" x14ac:dyDescent="0.2">
      <c r="B68" s="32" t="str">
        <f>IF(D8="Blanco","CFE58P021","CFE58P022")</f>
        <v>CFE58P022</v>
      </c>
      <c r="C68" s="29" t="str">
        <f>B68</f>
        <v>CFE58P022</v>
      </c>
      <c r="D68" s="112" t="str">
        <f>IFERROR( VLOOKUP(B68,Descripciones!$A$2:$B$131,2,FALSE),"")</f>
        <v>Cerradero Negro</v>
      </c>
      <c r="E68" s="112"/>
      <c r="F68" s="68">
        <f>(IF(SH&lt;1400,2,IF(AND(SH&gt;1400,SH&lt;2100),3,IF(SH&gt;=2100,4,"")))*VLOOKUP($D$4,$P$54:$T$62,5,FALSE))</f>
        <v>9</v>
      </c>
      <c r="G68" s="68"/>
      <c r="H68" s="77"/>
      <c r="I68" s="119"/>
      <c r="K68" s="5"/>
      <c r="L68" s="5"/>
      <c r="M68" s="5"/>
      <c r="N68" s="5"/>
      <c r="O68" s="5"/>
      <c r="P68" s="28"/>
      <c r="Q68" s="28" t="s">
        <v>83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118" x14ac:dyDescent="0.2">
      <c r="B69" s="32">
        <f>VLOOKUP(D9,P69:Q71,2,FALSE)</f>
        <v>791781</v>
      </c>
      <c r="C69" s="29">
        <f>B69</f>
        <v>791781</v>
      </c>
      <c r="D69" s="112" t="str">
        <f>IFERROR( VLOOKUP(B69,Descripciones!$A$2:$B$131,2,FALSE),"")</f>
        <v>Manija RotoLine Patio S 30mm Negra R06.2</v>
      </c>
      <c r="E69" s="112"/>
      <c r="F69" s="68">
        <f>VLOOKUP($D$4,$P$54:$R$62,3,FALSE)</f>
        <v>4</v>
      </c>
      <c r="G69" s="68"/>
      <c r="H69" s="77"/>
      <c r="I69" s="119"/>
      <c r="K69" s="5"/>
      <c r="L69" s="5"/>
      <c r="M69" s="5"/>
      <c r="N69" s="5"/>
      <c r="O69" s="5"/>
      <c r="P69" s="28" t="s">
        <v>13</v>
      </c>
      <c r="Q69" s="28">
        <v>791780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118" s="3" customFormat="1" x14ac:dyDescent="0.2">
      <c r="A70" s="5"/>
      <c r="B70" s="32" t="str">
        <f>IF(OR(D4=ESQUEMA_A,D4=ESQUEMA_C,D4=ESQUEMA_L,D4=ESQUEMA_K,D4=ESQUEMA_M),"CFF08042","")</f>
        <v/>
      </c>
      <c r="C70" s="29" t="str">
        <f>IF(B70&lt;&gt;"",B70,"")</f>
        <v/>
      </c>
      <c r="D70" s="112" t="str">
        <f>IFERROR( VLOOKUP(B70,Descripciones!$A$2:$B$131,2,FALSE),"")</f>
        <v/>
      </c>
      <c r="E70" s="112"/>
      <c r="F70" s="68">
        <f>VLOOKUP(D4,P54:Z62,11,FALSE)*8</f>
        <v>0</v>
      </c>
      <c r="G70" s="68"/>
      <c r="H70" s="77"/>
      <c r="I70" s="119"/>
      <c r="J70" s="5"/>
      <c r="K70" s="5"/>
      <c r="L70" s="5"/>
      <c r="M70" s="5"/>
      <c r="N70" s="5"/>
      <c r="O70" s="5"/>
      <c r="P70" s="28" t="s">
        <v>14</v>
      </c>
      <c r="Q70" s="28">
        <v>791781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</row>
    <row r="71" spans="1:118" ht="13.5" thickBot="1" x14ac:dyDescent="0.25">
      <c r="B71" s="33">
        <f>IF(D8="Blanco",317250,IF(D8="Negro",335555,""))</f>
        <v>335555</v>
      </c>
      <c r="C71" s="151">
        <f>B71</f>
        <v>335555</v>
      </c>
      <c r="D71" s="113" t="str">
        <f>IFERROR( VLOOKUP(B71,Descripciones!$A$2:$B$131,2,FALSE),"")</f>
        <v>Tope negro R06.2</v>
      </c>
      <c r="E71" s="113"/>
      <c r="F71" s="71">
        <f>VLOOKUP($D$4,$P$54:$U$62,6,FALSE)</f>
        <v>4</v>
      </c>
      <c r="G71" s="71"/>
      <c r="H71" s="78"/>
      <c r="I71" s="120"/>
      <c r="K71" s="5"/>
      <c r="L71" s="5"/>
      <c r="M71" s="5"/>
      <c r="N71" s="5"/>
      <c r="O71" s="5"/>
      <c r="P71" s="28" t="s">
        <v>82</v>
      </c>
      <c r="Q71" s="28">
        <v>791782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118" x14ac:dyDescent="0.2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118" x14ac:dyDescent="0.2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118" x14ac:dyDescent="0.2">
      <c r="K74" s="5"/>
      <c r="L74" s="5"/>
      <c r="M74" s="5"/>
      <c r="N74" s="5"/>
      <c r="O74" s="5"/>
      <c r="P74" s="28" t="s">
        <v>94</v>
      </c>
      <c r="Q74" s="28" t="s">
        <v>84</v>
      </c>
      <c r="R74" s="28" t="s">
        <v>85</v>
      </c>
      <c r="S74" s="28" t="s">
        <v>86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118" x14ac:dyDescent="0.2">
      <c r="K75" s="5"/>
      <c r="L75" s="5"/>
      <c r="M75" s="5"/>
      <c r="N75" s="5"/>
      <c r="O75" s="5"/>
      <c r="P75" s="28" t="s">
        <v>87</v>
      </c>
      <c r="Q75" s="28">
        <v>628482</v>
      </c>
      <c r="R75" s="28">
        <v>1</v>
      </c>
      <c r="S75" s="28">
        <v>2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118" x14ac:dyDescent="0.2">
      <c r="K76" s="5"/>
      <c r="L76" s="5"/>
      <c r="M76" s="5"/>
      <c r="N76" s="5"/>
      <c r="O76" s="5"/>
      <c r="P76" s="28" t="s">
        <v>88</v>
      </c>
      <c r="Q76" s="28">
        <v>628483</v>
      </c>
      <c r="R76" s="28">
        <v>2</v>
      </c>
      <c r="S76" s="28">
        <v>2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118" x14ac:dyDescent="0.2">
      <c r="K77" s="5"/>
      <c r="L77" s="5"/>
      <c r="M77" s="5"/>
      <c r="N77" s="5"/>
      <c r="O77" s="5"/>
      <c r="P77" s="28" t="s">
        <v>89</v>
      </c>
      <c r="Q77" s="28">
        <v>628484</v>
      </c>
      <c r="R77" s="28">
        <v>1</v>
      </c>
      <c r="S77" s="28">
        <v>2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118" x14ac:dyDescent="0.2">
      <c r="K78" s="5"/>
      <c r="L78" s="5"/>
      <c r="M78" s="5"/>
      <c r="N78" s="5"/>
      <c r="O78" s="5"/>
      <c r="P78" s="28" t="s">
        <v>90</v>
      </c>
      <c r="Q78" s="28">
        <v>628495</v>
      </c>
      <c r="R78" s="28">
        <v>1</v>
      </c>
      <c r="S78" s="28">
        <v>2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118" x14ac:dyDescent="0.2">
      <c r="K79" s="5"/>
      <c r="L79" s="5"/>
      <c r="M79" s="5"/>
      <c r="N79" s="5"/>
      <c r="O79" s="5"/>
      <c r="P79" s="28" t="s">
        <v>91</v>
      </c>
      <c r="Q79" s="28">
        <v>628496</v>
      </c>
      <c r="R79" s="28">
        <v>2</v>
      </c>
      <c r="S79" s="28">
        <v>3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118" x14ac:dyDescent="0.2">
      <c r="K80" s="5"/>
      <c r="L80" s="5"/>
      <c r="M80" s="5"/>
      <c r="N80" s="5"/>
      <c r="O80" s="5"/>
      <c r="P80" s="28" t="s">
        <v>92</v>
      </c>
      <c r="Q80" s="28">
        <v>628497</v>
      </c>
      <c r="R80" s="28">
        <v>2</v>
      </c>
      <c r="S80" s="28">
        <v>3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6:19" s="5" customFormat="1" x14ac:dyDescent="0.2">
      <c r="P81" s="28" t="s">
        <v>93</v>
      </c>
      <c r="Q81" s="28">
        <v>628498</v>
      </c>
      <c r="R81" s="28">
        <v>3</v>
      </c>
      <c r="S81" s="28">
        <v>4</v>
      </c>
    </row>
    <row r="82" spans="16:19" s="5" customFormat="1" x14ac:dyDescent="0.2"/>
    <row r="83" spans="16:19" s="5" customFormat="1" x14ac:dyDescent="0.2"/>
    <row r="84" spans="16:19" s="5" customFormat="1" x14ac:dyDescent="0.2"/>
    <row r="85" spans="16:19" s="5" customFormat="1" x14ac:dyDescent="0.2"/>
    <row r="86" spans="16:19" s="5" customFormat="1" ht="15.75" customHeight="1" x14ac:dyDescent="0.2"/>
    <row r="87" spans="16:19" s="5" customFormat="1" x14ac:dyDescent="0.2"/>
    <row r="88" spans="16:19" s="5" customFormat="1" x14ac:dyDescent="0.2"/>
    <row r="89" spans="16:19" s="5" customFormat="1" x14ac:dyDescent="0.2"/>
    <row r="90" spans="16:19" s="5" customFormat="1" x14ac:dyDescent="0.2"/>
    <row r="91" spans="16:19" s="5" customFormat="1" x14ac:dyDescent="0.2"/>
    <row r="92" spans="16:19" s="5" customFormat="1" x14ac:dyDescent="0.2"/>
    <row r="93" spans="16:19" s="5" customFormat="1" x14ac:dyDescent="0.2"/>
    <row r="94" spans="16:19" s="5" customFormat="1" x14ac:dyDescent="0.2"/>
    <row r="95" spans="16:19" s="5" customFormat="1" x14ac:dyDescent="0.2"/>
    <row r="96" spans="16:19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pans="16:21" s="5" customFormat="1" x14ac:dyDescent="0.2"/>
    <row r="546" spans="16:21" x14ac:dyDescent="0.2">
      <c r="P546" s="5"/>
      <c r="Q546" s="5"/>
      <c r="R546" s="5"/>
      <c r="S546" s="5"/>
      <c r="T546" s="5"/>
      <c r="U546" s="5"/>
    </row>
  </sheetData>
  <mergeCells count="54">
    <mergeCell ref="E4:H12"/>
    <mergeCell ref="B19:H19"/>
    <mergeCell ref="B1:H2"/>
    <mergeCell ref="I50:I54"/>
    <mergeCell ref="I21:I34"/>
    <mergeCell ref="I35:I49"/>
    <mergeCell ref="D20:E20"/>
    <mergeCell ref="D36:E36"/>
    <mergeCell ref="D37:E37"/>
    <mergeCell ref="D39:E39"/>
    <mergeCell ref="D38:E38"/>
    <mergeCell ref="D40:E40"/>
    <mergeCell ref="D41:E41"/>
    <mergeCell ref="I60:I71"/>
    <mergeCell ref="D21:E21"/>
    <mergeCell ref="D22:E22"/>
    <mergeCell ref="D23:E23"/>
    <mergeCell ref="D24:E24"/>
    <mergeCell ref="D25:E25"/>
    <mergeCell ref="D26:E26"/>
    <mergeCell ref="D28:E28"/>
    <mergeCell ref="D27:E27"/>
    <mergeCell ref="D29:E29"/>
    <mergeCell ref="D30:E30"/>
    <mergeCell ref="D31:E31"/>
    <mergeCell ref="D32:E32"/>
    <mergeCell ref="D33:E33"/>
    <mergeCell ref="D34:E34"/>
    <mergeCell ref="D35:E35"/>
    <mergeCell ref="D42:E42"/>
    <mergeCell ref="D43:E43"/>
    <mergeCell ref="D44:E44"/>
    <mergeCell ref="D46:E46"/>
    <mergeCell ref="D47:E47"/>
    <mergeCell ref="D45:E45"/>
    <mergeCell ref="D48:E48"/>
    <mergeCell ref="D49:E49"/>
    <mergeCell ref="D50:E50"/>
    <mergeCell ref="D51:E51"/>
    <mergeCell ref="D52:E52"/>
    <mergeCell ref="D53:E53"/>
    <mergeCell ref="D54:E54"/>
    <mergeCell ref="D60:E60"/>
    <mergeCell ref="D61:E61"/>
    <mergeCell ref="D62:E62"/>
    <mergeCell ref="D68:E68"/>
    <mergeCell ref="D69:E69"/>
    <mergeCell ref="D70:E70"/>
    <mergeCell ref="D71:E71"/>
    <mergeCell ref="D63:E63"/>
    <mergeCell ref="D65:E65"/>
    <mergeCell ref="D64:E64"/>
    <mergeCell ref="D66:E66"/>
    <mergeCell ref="D67:E67"/>
  </mergeCells>
  <dataValidations disablePrompts="1" count="6">
    <dataValidation type="list" allowBlank="1" showInputMessage="1" showErrorMessage="1" sqref="D10">
      <formula1>$AE$4:$AE$5</formula1>
    </dataValidation>
    <dataValidation type="list" allowBlank="1" showInputMessage="1" showErrorMessage="1" sqref="D11">
      <formula1>$AD$4:$AD$5</formula1>
    </dataValidation>
    <dataValidation type="list" allowBlank="1" showInputMessage="1" showErrorMessage="1" sqref="D12">
      <formula1>$AF$4:$AF$13</formula1>
    </dataValidation>
    <dataValidation type="custom" allowBlank="1" showInputMessage="1" showErrorMessage="1" errorTitle="ERROR MEDIDA HOJAS" error="Medida minima anchura hoja 610 - Medida máxima anchura hoja 1400" sqref="D5">
      <formula1>AND(D17&gt;610,D17&lt;=1400)</formula1>
    </dataValidation>
    <dataValidation type="custom" allowBlank="1" showInputMessage="1" showErrorMessage="1" errorTitle="ERROR MEDIDA HOJAS" error="Medida minima altura hoja 850 - Medida máxima altura hoja 2600" sqref="D6">
      <formula1>AND(D18&gt;850,D18&lt;=2600)</formula1>
    </dataValidation>
    <dataValidation type="list" allowBlank="1" showInputMessage="1" showErrorMessage="1" sqref="D4">
      <formula1>$P$54:$P$62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Colores!$H$1:$H$2</xm:f>
          </x14:formula1>
          <xm:sqref>D8</xm:sqref>
        </x14:dataValidation>
        <x14:dataValidation type="list" allowBlank="1" showInputMessage="1" showErrorMessage="1">
          <x14:formula1>
            <xm:f>Colores!$J$1:$J$3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47"/>
  <sheetViews>
    <sheetView topLeftCell="C9" zoomScale="85" zoomScaleNormal="85" workbookViewId="0">
      <selection activeCell="D73" sqref="D73"/>
    </sheetView>
  </sheetViews>
  <sheetFormatPr baseColWidth="10" defaultColWidth="11.42578125" defaultRowHeight="12.75" x14ac:dyDescent="0.2"/>
  <cols>
    <col min="1" max="1" width="21.140625" style="5" hidden="1" customWidth="1"/>
    <col min="2" max="2" width="15.5703125" style="5" hidden="1" customWidth="1"/>
    <col min="3" max="3" width="16.7109375" style="5" bestFit="1" customWidth="1"/>
    <col min="4" max="4" width="26" style="5" customWidth="1"/>
    <col min="5" max="5" width="19.5703125" style="5" customWidth="1"/>
    <col min="6" max="6" width="11" style="5" bestFit="1" customWidth="1"/>
    <col min="7" max="7" width="17.5703125" style="5" customWidth="1"/>
    <col min="8" max="8" width="16.5703125" style="5" customWidth="1"/>
    <col min="9" max="9" width="9.28515625" style="5" customWidth="1"/>
    <col min="10" max="10" width="11.140625" style="5" customWidth="1"/>
    <col min="11" max="11" width="11.140625" style="3" customWidth="1"/>
    <col min="12" max="12" width="1.5703125" style="3" customWidth="1"/>
    <col min="13" max="13" width="11.140625" style="3" customWidth="1"/>
    <col min="14" max="14" width="63" style="3" customWidth="1"/>
    <col min="15" max="15" width="5.85546875" style="3" hidden="1" customWidth="1"/>
    <col min="16" max="16" width="25.5703125" style="3" hidden="1" customWidth="1"/>
    <col min="17" max="17" width="21.140625" style="3" hidden="1" customWidth="1"/>
    <col min="18" max="18" width="24.85546875" style="3" hidden="1" customWidth="1"/>
    <col min="19" max="19" width="27.140625" style="3" hidden="1" customWidth="1"/>
    <col min="20" max="20" width="19.85546875" style="3" hidden="1" customWidth="1"/>
    <col min="21" max="21" width="19" style="3" hidden="1" customWidth="1"/>
    <col min="22" max="22" width="18.42578125" style="3" hidden="1" customWidth="1"/>
    <col min="23" max="23" width="15.28515625" style="3" hidden="1" customWidth="1"/>
    <col min="24" max="24" width="19.5703125" style="3" hidden="1" customWidth="1"/>
    <col min="25" max="29" width="11.140625" style="3" hidden="1" customWidth="1"/>
    <col min="30" max="30" width="8.7109375" style="3" hidden="1" customWidth="1"/>
    <col min="31" max="31" width="3.5703125" style="3" hidden="1" customWidth="1"/>
    <col min="32" max="32" width="11.7109375" style="3" hidden="1" customWidth="1"/>
    <col min="33" max="38" width="11.42578125" style="3" hidden="1" customWidth="1"/>
    <col min="39" max="57" width="11.42578125" style="5" hidden="1" customWidth="1"/>
    <col min="58" max="80" width="11.42578125" style="5" customWidth="1"/>
    <col min="81" max="118" width="11.42578125" style="5"/>
    <col min="119" max="16384" width="11.42578125" style="3"/>
  </cols>
  <sheetData>
    <row r="1" spans="1:118" ht="12.75" customHeight="1" x14ac:dyDescent="0.2">
      <c r="B1" s="130" t="s">
        <v>103</v>
      </c>
      <c r="C1" s="130"/>
      <c r="D1" s="130"/>
      <c r="E1" s="130"/>
      <c r="F1" s="130"/>
      <c r="G1" s="130"/>
      <c r="H1" s="130"/>
      <c r="K1" s="5"/>
      <c r="L1" s="5"/>
      <c r="M1" s="5"/>
      <c r="N1" s="5"/>
    </row>
    <row r="2" spans="1:118" ht="24.75" customHeight="1" thickBot="1" x14ac:dyDescent="0.25">
      <c r="B2" s="130"/>
      <c r="C2" s="130"/>
      <c r="D2" s="130"/>
      <c r="E2" s="130"/>
      <c r="F2" s="130"/>
      <c r="G2" s="130"/>
      <c r="H2" s="130"/>
      <c r="K2" s="5"/>
      <c r="L2" s="5"/>
      <c r="M2" s="5"/>
      <c r="N2" s="5"/>
    </row>
    <row r="3" spans="1:118" x14ac:dyDescent="0.2">
      <c r="C3" s="31"/>
      <c r="D3" s="38"/>
      <c r="E3" s="38"/>
      <c r="F3" s="38"/>
      <c r="G3" s="38"/>
      <c r="H3" s="26"/>
      <c r="K3" s="5"/>
      <c r="L3" s="5"/>
      <c r="M3" s="5"/>
      <c r="N3" s="5"/>
    </row>
    <row r="4" spans="1:118" x14ac:dyDescent="0.2">
      <c r="C4" s="39" t="s">
        <v>70</v>
      </c>
      <c r="D4" s="10" t="s">
        <v>63</v>
      </c>
      <c r="E4" s="124" t="s">
        <v>104</v>
      </c>
      <c r="F4" s="125"/>
      <c r="G4" s="125"/>
      <c r="H4" s="126"/>
      <c r="K4" s="5"/>
      <c r="L4" s="5"/>
      <c r="M4" s="5"/>
      <c r="N4" s="5"/>
      <c r="O4" s="5" t="s">
        <v>10</v>
      </c>
      <c r="P4" s="5" t="s">
        <v>47</v>
      </c>
      <c r="Q4" s="5" t="s">
        <v>48</v>
      </c>
      <c r="R4" s="5" t="s">
        <v>49</v>
      </c>
      <c r="S4" s="5" t="s">
        <v>9</v>
      </c>
      <c r="T4" s="5" t="s">
        <v>61</v>
      </c>
      <c r="U4" s="5" t="s">
        <v>62</v>
      </c>
      <c r="V4" s="5" t="s">
        <v>53</v>
      </c>
      <c r="W4" s="5" t="s">
        <v>54</v>
      </c>
      <c r="X4" s="5" t="s">
        <v>55</v>
      </c>
      <c r="Y4" s="5"/>
      <c r="Z4" s="5"/>
      <c r="AA4" s="5"/>
      <c r="AB4" s="5"/>
      <c r="AC4" s="5"/>
      <c r="AD4" s="5" t="s">
        <v>39</v>
      </c>
      <c r="AE4" s="5" t="s">
        <v>36</v>
      </c>
      <c r="AF4" s="6" t="s">
        <v>126</v>
      </c>
      <c r="AG4" s="5" t="s">
        <v>136</v>
      </c>
      <c r="AH4" s="5" t="s">
        <v>136</v>
      </c>
      <c r="AI4" s="5"/>
      <c r="AJ4" s="5"/>
      <c r="AK4" s="5"/>
      <c r="AL4" s="5"/>
    </row>
    <row r="5" spans="1:118" x14ac:dyDescent="0.2">
      <c r="C5" s="39" t="s">
        <v>0</v>
      </c>
      <c r="D5" s="7">
        <v>2000</v>
      </c>
      <c r="E5" s="124"/>
      <c r="F5" s="125"/>
      <c r="G5" s="125"/>
      <c r="H5" s="12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40</v>
      </c>
      <c r="AE5" s="5" t="s">
        <v>37</v>
      </c>
      <c r="AF5" s="6" t="s">
        <v>127</v>
      </c>
      <c r="AG5" s="5" t="s">
        <v>137</v>
      </c>
      <c r="AH5" s="5" t="s">
        <v>136</v>
      </c>
      <c r="AI5" s="5"/>
      <c r="AJ5" s="5"/>
      <c r="AK5" s="5"/>
      <c r="AL5" s="5"/>
    </row>
    <row r="6" spans="1:118" x14ac:dyDescent="0.2">
      <c r="C6" s="39" t="s">
        <v>1</v>
      </c>
      <c r="D6" s="7">
        <v>2100</v>
      </c>
      <c r="E6" s="124"/>
      <c r="F6" s="125"/>
      <c r="G6" s="125"/>
      <c r="H6" s="126"/>
      <c r="K6" s="5"/>
      <c r="L6" s="5"/>
      <c r="M6" s="5"/>
      <c r="N6" s="5"/>
      <c r="O6" s="5">
        <v>2</v>
      </c>
      <c r="P6" s="5">
        <v>10</v>
      </c>
      <c r="Q6" s="5">
        <v>1</v>
      </c>
      <c r="R6" s="5">
        <v>1</v>
      </c>
      <c r="S6" s="5">
        <v>2</v>
      </c>
      <c r="T6" s="5">
        <v>8</v>
      </c>
      <c r="U6" s="5">
        <v>4</v>
      </c>
      <c r="V6" s="5">
        <v>2</v>
      </c>
      <c r="W6" s="5">
        <v>4</v>
      </c>
      <c r="X6" s="5">
        <v>4</v>
      </c>
      <c r="Y6" s="5"/>
      <c r="Z6" s="5"/>
      <c r="AA6" s="5"/>
      <c r="AB6" s="5"/>
      <c r="AC6" s="5"/>
      <c r="AD6" s="5"/>
      <c r="AE6" s="5"/>
      <c r="AF6" s="6" t="s">
        <v>128</v>
      </c>
      <c r="AG6" s="5" t="s">
        <v>125</v>
      </c>
      <c r="AH6" s="5" t="s">
        <v>137</v>
      </c>
      <c r="AI6" s="5"/>
      <c r="AJ6" s="5"/>
      <c r="AK6" s="5"/>
      <c r="AL6" s="5"/>
    </row>
    <row r="7" spans="1:118" ht="12.75" hidden="1" customHeight="1" x14ac:dyDescent="0.2">
      <c r="C7" s="39" t="s">
        <v>46</v>
      </c>
      <c r="D7" s="9">
        <f>VLOOKUP(D4,$P$55:$Q$63,2,FALSE)</f>
        <v>2</v>
      </c>
      <c r="E7" s="124"/>
      <c r="F7" s="125"/>
      <c r="G7" s="125"/>
      <c r="H7" s="126"/>
      <c r="K7" s="5"/>
      <c r="L7" s="5"/>
      <c r="M7" s="5"/>
      <c r="N7" s="5"/>
      <c r="O7" s="5">
        <v>3</v>
      </c>
      <c r="P7" s="5">
        <v>30</v>
      </c>
      <c r="Q7" s="5">
        <v>2</v>
      </c>
      <c r="R7" s="5">
        <v>2</v>
      </c>
      <c r="S7" s="5">
        <v>4</v>
      </c>
      <c r="T7" s="5">
        <v>12</v>
      </c>
      <c r="U7" s="5">
        <v>4</v>
      </c>
      <c r="V7" s="5">
        <v>4</v>
      </c>
      <c r="W7" s="5">
        <v>6</v>
      </c>
      <c r="X7" s="5">
        <v>6</v>
      </c>
      <c r="Y7" s="5"/>
      <c r="Z7" s="5"/>
      <c r="AA7" s="5"/>
      <c r="AB7" s="5"/>
      <c r="AC7" s="5"/>
      <c r="AD7" s="5"/>
      <c r="AE7" s="5"/>
      <c r="AF7" s="6" t="s">
        <v>129</v>
      </c>
      <c r="AG7" s="5" t="s">
        <v>125</v>
      </c>
      <c r="AH7" s="5" t="s">
        <v>137</v>
      </c>
      <c r="AI7" s="5"/>
      <c r="AJ7" s="5"/>
      <c r="AK7" s="5"/>
      <c r="AL7" s="5"/>
    </row>
    <row r="8" spans="1:118" x14ac:dyDescent="0.2">
      <c r="C8" s="39" t="s">
        <v>65</v>
      </c>
      <c r="D8" s="11" t="s">
        <v>14</v>
      </c>
      <c r="E8" s="124"/>
      <c r="F8" s="125"/>
      <c r="G8" s="125"/>
      <c r="H8" s="126"/>
      <c r="K8" s="5"/>
      <c r="L8" s="5"/>
      <c r="M8" s="5"/>
      <c r="N8" s="5"/>
      <c r="O8" s="5">
        <v>4</v>
      </c>
      <c r="P8" s="5">
        <v>21</v>
      </c>
      <c r="Q8" s="5">
        <v>2</v>
      </c>
      <c r="R8" s="5">
        <v>4</v>
      </c>
      <c r="S8" s="5">
        <v>4</v>
      </c>
      <c r="T8" s="5">
        <v>16</v>
      </c>
      <c r="U8" s="5">
        <v>8</v>
      </c>
      <c r="V8" s="5">
        <v>4</v>
      </c>
      <c r="W8" s="5">
        <v>8</v>
      </c>
      <c r="X8" s="5">
        <v>8</v>
      </c>
      <c r="Y8" s="5"/>
      <c r="Z8" s="5"/>
      <c r="AA8" s="5"/>
      <c r="AB8" s="5"/>
      <c r="AC8" s="5"/>
      <c r="AD8" s="5"/>
      <c r="AE8" s="5"/>
      <c r="AF8" s="6" t="s">
        <v>130</v>
      </c>
      <c r="AG8" s="5" t="s">
        <v>125</v>
      </c>
      <c r="AH8" s="5" t="s">
        <v>125</v>
      </c>
      <c r="AI8" s="5"/>
      <c r="AJ8" s="5"/>
      <c r="AK8" s="5"/>
      <c r="AL8" s="5"/>
    </row>
    <row r="9" spans="1:118" x14ac:dyDescent="0.2">
      <c r="C9" s="39" t="s">
        <v>66</v>
      </c>
      <c r="D9" s="11" t="s">
        <v>14</v>
      </c>
      <c r="E9" s="124"/>
      <c r="F9" s="125"/>
      <c r="G9" s="125"/>
      <c r="H9" s="126"/>
      <c r="K9" s="5"/>
      <c r="L9" s="5"/>
      <c r="M9" s="5"/>
      <c r="N9" s="5"/>
      <c r="O9" s="5">
        <v>6</v>
      </c>
      <c r="P9" s="5">
        <v>38</v>
      </c>
      <c r="Q9" s="5">
        <v>4</v>
      </c>
      <c r="R9" s="5">
        <v>6</v>
      </c>
      <c r="S9" s="5">
        <v>8</v>
      </c>
      <c r="T9" s="5">
        <v>24</v>
      </c>
      <c r="U9" s="5">
        <v>8</v>
      </c>
      <c r="V9" s="5">
        <v>8</v>
      </c>
      <c r="W9" s="5">
        <v>12</v>
      </c>
      <c r="X9" s="5">
        <v>12</v>
      </c>
      <c r="Y9" s="5"/>
      <c r="Z9" s="5"/>
      <c r="AA9" s="5"/>
      <c r="AB9" s="5"/>
      <c r="AC9" s="5"/>
      <c r="AD9" s="5"/>
      <c r="AE9" s="5"/>
      <c r="AF9" s="6" t="s">
        <v>131</v>
      </c>
      <c r="AG9" s="5" t="s">
        <v>136</v>
      </c>
      <c r="AH9" s="5" t="s">
        <v>136</v>
      </c>
      <c r="AI9" s="5"/>
      <c r="AJ9" s="5"/>
      <c r="AK9" s="5"/>
      <c r="AL9" s="5"/>
    </row>
    <row r="10" spans="1:118" x14ac:dyDescent="0.2">
      <c r="C10" s="39" t="s">
        <v>35</v>
      </c>
      <c r="D10" s="11" t="s">
        <v>36</v>
      </c>
      <c r="E10" s="124"/>
      <c r="F10" s="125"/>
      <c r="G10" s="125"/>
      <c r="H10" s="12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 t="s">
        <v>132</v>
      </c>
      <c r="AG10" s="5" t="s">
        <v>137</v>
      </c>
      <c r="AH10" s="5" t="s">
        <v>136</v>
      </c>
      <c r="AI10" s="5"/>
      <c r="AJ10" s="5"/>
      <c r="AK10" s="5"/>
      <c r="AL10" s="5"/>
    </row>
    <row r="11" spans="1:118" x14ac:dyDescent="0.2">
      <c r="C11" s="39" t="s">
        <v>38</v>
      </c>
      <c r="D11" s="11" t="s">
        <v>39</v>
      </c>
      <c r="E11" s="124"/>
      <c r="F11" s="125"/>
      <c r="G11" s="125"/>
      <c r="H11" s="126"/>
      <c r="K11" s="5"/>
      <c r="L11" s="5"/>
      <c r="M11" s="5"/>
      <c r="N11" s="5"/>
      <c r="O11" s="5">
        <v>1</v>
      </c>
      <c r="P11" s="5">
        <v>2</v>
      </c>
      <c r="Q11" s="5">
        <v>3</v>
      </c>
      <c r="R11" s="5">
        <v>4</v>
      </c>
      <c r="S11" s="5">
        <v>5</v>
      </c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5"/>
      <c r="AA11" s="5"/>
      <c r="AB11" s="5"/>
      <c r="AC11" s="5"/>
      <c r="AD11" s="5"/>
      <c r="AE11" s="5"/>
      <c r="AF11" s="6" t="s">
        <v>133</v>
      </c>
      <c r="AG11" s="5" t="s">
        <v>137</v>
      </c>
      <c r="AH11" s="5" t="s">
        <v>137</v>
      </c>
      <c r="AI11" s="5"/>
      <c r="AJ11" s="5"/>
      <c r="AK11" s="5"/>
      <c r="AL11" s="5"/>
    </row>
    <row r="12" spans="1:118" ht="15.6" customHeight="1" x14ac:dyDescent="0.2">
      <c r="C12" s="39" t="s">
        <v>45</v>
      </c>
      <c r="D12" s="11" t="s">
        <v>132</v>
      </c>
      <c r="E12" s="124"/>
      <c r="F12" s="125"/>
      <c r="G12" s="125"/>
      <c r="H12" s="12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5"/>
      <c r="Z12" s="5"/>
      <c r="AA12" s="5"/>
      <c r="AB12" s="5"/>
      <c r="AC12" s="5"/>
      <c r="AD12" s="5"/>
      <c r="AE12" s="5"/>
      <c r="AF12" s="6" t="s">
        <v>134</v>
      </c>
      <c r="AG12" s="5" t="s">
        <v>125</v>
      </c>
      <c r="AH12" s="5" t="s">
        <v>137</v>
      </c>
      <c r="AI12" s="5"/>
      <c r="AJ12" s="5"/>
      <c r="AK12" s="5"/>
      <c r="AL12" s="5"/>
    </row>
    <row r="13" spans="1:118" s="56" customFormat="1" ht="15.6" customHeight="1" x14ac:dyDescent="0.2">
      <c r="A13" s="57"/>
      <c r="B13" s="57"/>
      <c r="C13" s="55" t="s">
        <v>95</v>
      </c>
      <c r="D13" s="59" t="s">
        <v>96</v>
      </c>
      <c r="E13" s="45"/>
      <c r="F13" s="45"/>
      <c r="G13" s="45"/>
      <c r="H13" s="4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7"/>
      <c r="Z13" s="57"/>
      <c r="AA13" s="57"/>
      <c r="AB13" s="57"/>
      <c r="AC13" s="57"/>
      <c r="AD13" s="57"/>
      <c r="AE13" s="57"/>
      <c r="AF13" s="58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</row>
    <row r="14" spans="1:118" ht="13.5" thickBot="1" x14ac:dyDescent="0.25">
      <c r="C14" s="33"/>
      <c r="D14" s="40"/>
      <c r="E14" s="42"/>
      <c r="F14" s="42"/>
      <c r="G14" s="42"/>
      <c r="H14" s="4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5"/>
      <c r="Z14" s="5"/>
      <c r="AA14" s="5"/>
      <c r="AB14" s="5"/>
      <c r="AC14" s="5"/>
      <c r="AD14" s="5"/>
      <c r="AE14" s="5"/>
      <c r="AF14" s="6" t="s">
        <v>135</v>
      </c>
      <c r="AG14" s="5" t="s">
        <v>125</v>
      </c>
      <c r="AH14" s="5" t="s">
        <v>125</v>
      </c>
      <c r="AI14" s="5"/>
      <c r="AJ14" s="5"/>
      <c r="AK14" s="5"/>
      <c r="AL14" s="5"/>
    </row>
    <row r="15" spans="1:118" ht="13.5" thickBot="1" x14ac:dyDescent="0.25">
      <c r="C15" s="16"/>
      <c r="D15" s="16"/>
      <c r="E15" s="41"/>
      <c r="F15" s="41"/>
      <c r="G15" s="41"/>
      <c r="H15" s="4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118" hidden="1" x14ac:dyDescent="0.2">
      <c r="B16" s="12" t="s">
        <v>10</v>
      </c>
      <c r="C16" s="36">
        <f>D7</f>
        <v>2</v>
      </c>
      <c r="D16" s="37"/>
      <c r="E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2:38" hidden="1" x14ac:dyDescent="0.2">
      <c r="B17" s="13"/>
      <c r="C17" s="14" t="s">
        <v>11</v>
      </c>
      <c r="D17" s="15" t="s">
        <v>12</v>
      </c>
      <c r="E17" s="16"/>
      <c r="F17" s="1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7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2:38" hidden="1" x14ac:dyDescent="0.2">
      <c r="B18" s="18" t="s">
        <v>7</v>
      </c>
      <c r="C18" s="19"/>
      <c r="D18" s="20">
        <f>FW/$D$7+VLOOKUP($D$7,$O$6:$P$9,2,FALSE)</f>
        <v>1010</v>
      </c>
      <c r="E18" s="17"/>
      <c r="F18" s="17"/>
      <c r="K18" s="5"/>
      <c r="L18" s="5"/>
      <c r="M18" s="5"/>
      <c r="N18" s="5"/>
      <c r="O18" s="5"/>
      <c r="P18" s="5"/>
      <c r="Q18" s="5"/>
      <c r="R18" s="5"/>
      <c r="S18" s="17"/>
      <c r="T18" s="17"/>
      <c r="U18" s="17"/>
      <c r="V18" s="21"/>
      <c r="W18" s="17"/>
      <c r="X18" s="17"/>
      <c r="Y18" s="17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2:38" ht="35.25" hidden="1" customHeight="1" thickBot="1" x14ac:dyDescent="0.25">
      <c r="B19" s="22" t="s">
        <v>8</v>
      </c>
      <c r="C19" s="23"/>
      <c r="D19" s="24">
        <f>$D$6-68</f>
        <v>2032</v>
      </c>
      <c r="E19" s="21"/>
      <c r="F19" s="21"/>
      <c r="K19" s="5"/>
      <c r="L19" s="5"/>
      <c r="M19" s="5"/>
      <c r="N19" s="17"/>
      <c r="O19" s="17"/>
      <c r="P19" s="17"/>
      <c r="Q19" s="17"/>
      <c r="R19" s="17"/>
      <c r="S19" s="21"/>
      <c r="T19" s="21"/>
      <c r="U19" s="21"/>
      <c r="V19" s="21"/>
      <c r="W19" s="21"/>
      <c r="X19" s="21"/>
      <c r="Y19" s="25"/>
      <c r="Z19" s="21"/>
      <c r="AA19" s="21"/>
      <c r="AB19" s="21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2:38" ht="31.5" customHeight="1" thickBot="1" x14ac:dyDescent="0.25">
      <c r="B20" s="127" t="s">
        <v>60</v>
      </c>
      <c r="C20" s="128"/>
      <c r="D20" s="128"/>
      <c r="E20" s="128"/>
      <c r="F20" s="128"/>
      <c r="G20" s="128"/>
      <c r="H20" s="129"/>
      <c r="I20" s="16"/>
      <c r="K20" s="5"/>
      <c r="L20" s="17"/>
      <c r="M20" s="17"/>
      <c r="N20" s="21"/>
      <c r="O20" s="21"/>
      <c r="P20" s="21"/>
      <c r="Q20" s="21"/>
      <c r="R20" s="21"/>
      <c r="S20" s="25"/>
      <c r="T20" s="25"/>
      <c r="U20" s="25"/>
      <c r="V20" s="25"/>
      <c r="W20" s="25"/>
      <c r="X20" s="25"/>
      <c r="Y20" s="16"/>
      <c r="Z20" s="25"/>
      <c r="AA20" s="25"/>
      <c r="AB20" s="2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2:38" ht="24.75" customHeight="1" thickBot="1" x14ac:dyDescent="0.25">
      <c r="B21" s="44" t="s">
        <v>105</v>
      </c>
      <c r="C21" s="80" t="s">
        <v>105</v>
      </c>
      <c r="D21" s="148" t="s">
        <v>145</v>
      </c>
      <c r="E21" s="149"/>
      <c r="F21" s="80" t="s">
        <v>106</v>
      </c>
      <c r="G21" s="80" t="s">
        <v>12</v>
      </c>
      <c r="H21" s="81"/>
      <c r="I21" s="16"/>
      <c r="K21" s="5"/>
      <c r="L21" s="17"/>
      <c r="M21" s="17"/>
      <c r="N21" s="21"/>
      <c r="O21" s="21"/>
      <c r="P21" s="21"/>
      <c r="Q21" s="21"/>
      <c r="R21" s="21"/>
      <c r="S21" s="25"/>
      <c r="T21" s="25"/>
      <c r="U21" s="25"/>
      <c r="V21" s="25"/>
      <c r="W21" s="25"/>
      <c r="X21" s="25"/>
      <c r="Y21" s="16"/>
      <c r="Z21" s="25"/>
      <c r="AA21" s="25"/>
      <c r="AB21" s="2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2:38" ht="12.75" customHeight="1" x14ac:dyDescent="0.2">
      <c r="B22" s="102" t="str">
        <f xml:space="preserve"> IF(OR(D7=O7,D7=O9),"MT-6540","MT-6539")</f>
        <v>MT-6539</v>
      </c>
      <c r="C22" s="152" t="str">
        <f>B22</f>
        <v>MT-6539</v>
      </c>
      <c r="D22" s="157" t="str">
        <f>IFERROR( VLOOKUP(C22,Descripciones!$A$2:$B$131,2,FALSE),"")</f>
        <v>Perfil marco inferior</v>
      </c>
      <c r="E22" s="157"/>
      <c r="F22" s="89">
        <v>1</v>
      </c>
      <c r="G22" s="90">
        <f>FW-41</f>
        <v>1959</v>
      </c>
      <c r="H22" s="105"/>
      <c r="I22" s="134" t="s">
        <v>50</v>
      </c>
      <c r="J22" s="17"/>
      <c r="K22" s="17"/>
      <c r="L22" s="21"/>
      <c r="M22" s="21"/>
      <c r="N22" s="25"/>
      <c r="O22" s="5"/>
      <c r="P22" s="5"/>
      <c r="Q22" s="5"/>
      <c r="R22" s="5"/>
      <c r="S22" s="5"/>
      <c r="T22" s="5"/>
      <c r="U22" s="5"/>
      <c r="V22" s="16"/>
      <c r="W22" s="16"/>
      <c r="X22" s="16"/>
      <c r="Y22" s="5"/>
      <c r="Z22" s="16"/>
      <c r="AA22" s="16"/>
      <c r="AB22" s="16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2:38" x14ac:dyDescent="0.2">
      <c r="B23" s="103" t="str">
        <f xml:space="preserve"> IF(OR(D7=O7,D7=O9),"MT-6547","MT-6546")</f>
        <v>MT-6546</v>
      </c>
      <c r="C23" s="29" t="str">
        <f>B23</f>
        <v>MT-6546</v>
      </c>
      <c r="D23" s="114" t="str">
        <f>IFERROR( VLOOKUP(C23,Descripciones!$A$2:$B$131,2,FALSE),"")</f>
        <v>Perfil marco superior</v>
      </c>
      <c r="E23" s="114"/>
      <c r="F23" s="67">
        <v>1</v>
      </c>
      <c r="G23" s="68">
        <f>FW-41</f>
        <v>1959</v>
      </c>
      <c r="H23" s="104"/>
      <c r="I23" s="135"/>
      <c r="J23" s="21"/>
      <c r="K23" s="17"/>
      <c r="L23" s="25"/>
      <c r="M23" s="25"/>
      <c r="N23" s="16"/>
      <c r="O23" s="16"/>
      <c r="P23" s="5"/>
      <c r="Q23" s="5"/>
      <c r="R23" s="5"/>
      <c r="S23" s="5"/>
      <c r="T23" s="5"/>
      <c r="U23" s="5"/>
      <c r="V23" s="5"/>
      <c r="W23" s="5"/>
      <c r="X23" s="5"/>
      <c r="Y23" s="1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2:38" x14ac:dyDescent="0.2">
      <c r="B24" s="103" t="str">
        <f xml:space="preserve"> IF(OR(D7=O7,D7=O9),"MT-6543","MT-6542")</f>
        <v>MT-6542</v>
      </c>
      <c r="C24" s="29" t="str">
        <f>B24</f>
        <v>MT-6542</v>
      </c>
      <c r="D24" s="114" t="str">
        <f>IFERROR( VLOOKUP(C24,Descripciones!$A$2:$B$131,2,FALSE),"")</f>
        <v>Perfil marco lateral</v>
      </c>
      <c r="E24" s="114"/>
      <c r="F24" s="67">
        <v>2</v>
      </c>
      <c r="G24" s="68">
        <f>FH</f>
        <v>2100</v>
      </c>
      <c r="H24" s="77"/>
      <c r="I24" s="135"/>
      <c r="J24" s="25"/>
      <c r="K24" s="21"/>
      <c r="L24" s="16"/>
      <c r="M24" s="16"/>
      <c r="N24" s="5"/>
      <c r="O24" s="16"/>
      <c r="P24" s="5"/>
      <c r="Q24" s="5"/>
      <c r="R24" s="5"/>
      <c r="S24" s="5"/>
      <c r="T24" s="5"/>
      <c r="U24" s="5"/>
      <c r="V24" s="16"/>
      <c r="W24" s="16"/>
      <c r="X24" s="16"/>
      <c r="Y24" s="16"/>
      <c r="Z24" s="16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2:38" x14ac:dyDescent="0.2">
      <c r="B25" s="103" t="s">
        <v>110</v>
      </c>
      <c r="C25" s="29" t="str">
        <f>B25</f>
        <v>MT-6541</v>
      </c>
      <c r="D25" s="114" t="str">
        <f>IFERROR( VLOOKUP(C25,Descripciones!$A$2:$B$131,2,FALSE),"")</f>
        <v>Perfil guia de marco</v>
      </c>
      <c r="E25" s="114"/>
      <c r="F25" s="67">
        <f>VLOOKUP($D$4,$P$55:$Y$63,7,FALSE)</f>
        <v>1</v>
      </c>
      <c r="G25" s="67">
        <f>VLOOKUP($D$4,$P$55:$Y$63,8,FALSE)</f>
        <v>1946</v>
      </c>
      <c r="H25" s="77"/>
      <c r="I25" s="135"/>
      <c r="J25" s="16"/>
      <c r="K25" s="25"/>
      <c r="L25" s="5"/>
      <c r="M25" s="5"/>
      <c r="N25" s="16"/>
      <c r="O25" s="16"/>
      <c r="P25" s="5"/>
      <c r="Q25" s="5"/>
      <c r="R25" s="5"/>
      <c r="S25" s="5"/>
      <c r="T25" s="5"/>
      <c r="U25" s="5"/>
      <c r="V25" s="16"/>
      <c r="W25" s="16"/>
      <c r="X25" s="16"/>
      <c r="Y25" s="16"/>
      <c r="Z25" s="16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2:38" x14ac:dyDescent="0.2">
      <c r="B26" s="95" t="str">
        <f>IF(OR($D$4=ESQUEMA_F,$D$4=ESQUEMA_H,$D$4=ESQUEMA_J),"MT-6541","")</f>
        <v/>
      </c>
      <c r="C26" s="29" t="str">
        <f t="shared" ref="C26:C35" si="0">B26</f>
        <v/>
      </c>
      <c r="D26" s="114" t="str">
        <f>IFERROR( VLOOKUP(C26,Descripciones!$A$2:$B$131,2,FALSE),"")</f>
        <v/>
      </c>
      <c r="E26" s="114"/>
      <c r="F26" s="67" t="str">
        <f>IF(B26&lt;&gt;"",VLOOKUP(D4,P55:Y63,9,FALSE),"")</f>
        <v/>
      </c>
      <c r="G26" s="68" t="str">
        <f>IF(B26&lt;&gt;"",FW-30,"")</f>
        <v/>
      </c>
      <c r="H26" s="77"/>
      <c r="I26" s="135"/>
      <c r="J26" s="16"/>
      <c r="K26" s="25"/>
      <c r="L26" s="5"/>
      <c r="M26" s="5"/>
      <c r="N26" s="16"/>
      <c r="O26" s="16"/>
      <c r="P26" s="5"/>
      <c r="Q26" s="5"/>
      <c r="R26" s="5"/>
      <c r="S26" s="5"/>
      <c r="T26" s="5"/>
      <c r="U26" s="5"/>
      <c r="V26" s="16"/>
      <c r="W26" s="16"/>
      <c r="X26" s="16"/>
      <c r="Y26" s="16"/>
      <c r="Z26" s="16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2:38" x14ac:dyDescent="0.2">
      <c r="B27" s="95" t="str">
        <f>IF(OR(D4=ESQUEMA_A,D4=ESQUEMA_C,D4=ESQUEMA_L,D4=ESQUEMA_K,D4=ESQUEMA_M),"MT-6555","")</f>
        <v>MT-6555</v>
      </c>
      <c r="C27" s="29" t="str">
        <f t="shared" si="0"/>
        <v>MT-6555</v>
      </c>
      <c r="D27" s="114" t="str">
        <f>IFERROR( VLOOKUP(C27,Descripciones!$A$2:$B$131,2,FALSE),"")</f>
        <v>Perfil guia marco para paño fijo</v>
      </c>
      <c r="E27" s="114"/>
      <c r="F27" s="61">
        <f>IF(B27&lt;&gt;"",1,"")</f>
        <v>1</v>
      </c>
      <c r="G27" s="67">
        <f>IF(B27&lt;&gt;"",VLOOKUP(D4,P55:Y63,10,FALSE),"")</f>
        <v>1946</v>
      </c>
      <c r="H27" s="77"/>
      <c r="I27" s="135"/>
      <c r="K27" s="16"/>
      <c r="L27" s="16"/>
      <c r="M27" s="16"/>
      <c r="N27" s="16"/>
      <c r="O27" s="16"/>
      <c r="P27" s="5"/>
      <c r="Q27" s="5"/>
      <c r="R27" s="5"/>
      <c r="S27" s="5"/>
      <c r="T27" s="5"/>
      <c r="U27" s="5"/>
      <c r="V27" s="16"/>
      <c r="W27" s="16"/>
      <c r="X27" s="16"/>
      <c r="Y27" s="16"/>
      <c r="Z27" s="16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2:38" x14ac:dyDescent="0.2">
      <c r="B28" s="95" t="str">
        <f>IF(LEFT(D12,1)="D","MT-6548","MT-6549")</f>
        <v>MT-6548</v>
      </c>
      <c r="C28" s="29" t="str">
        <f t="shared" si="0"/>
        <v>MT-6548</v>
      </c>
      <c r="D28" s="114" t="str">
        <f>IFERROR( VLOOKUP(C28,Descripciones!$A$2:$B$131,2,FALSE),"")</f>
        <v>Perfil hoja DVH</v>
      </c>
      <c r="E28" s="114"/>
      <c r="F28" s="67">
        <f>2*D7</f>
        <v>4</v>
      </c>
      <c r="G28" s="68">
        <f>SW</f>
        <v>1010</v>
      </c>
      <c r="H28" s="77"/>
      <c r="I28" s="135"/>
      <c r="J28" s="16"/>
      <c r="K28" s="5"/>
      <c r="L28" s="16"/>
      <c r="M28" s="16"/>
      <c r="N28" s="16"/>
      <c r="O28" s="16"/>
      <c r="P28" s="5"/>
      <c r="Q28" s="5"/>
      <c r="R28" s="5"/>
      <c r="S28" s="5"/>
      <c r="T28" s="5"/>
      <c r="U28" s="5"/>
      <c r="V28" s="16"/>
      <c r="W28" s="16"/>
      <c r="X28" s="16"/>
      <c r="Y28" s="16"/>
      <c r="Z28" s="16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2:38" x14ac:dyDescent="0.2">
      <c r="B29" s="95" t="str">
        <f>IF(LEFT(D12,1)="D","MT-6548","MT-6549")</f>
        <v>MT-6548</v>
      </c>
      <c r="C29" s="29" t="str">
        <f t="shared" si="0"/>
        <v>MT-6548</v>
      </c>
      <c r="D29" s="114" t="str">
        <f>IFERROR( VLOOKUP(C29,Descripciones!$A$2:$B$131,2,FALSE),"")</f>
        <v>Perfil hoja DVH</v>
      </c>
      <c r="E29" s="114"/>
      <c r="F29" s="67">
        <f>2*D7</f>
        <v>4</v>
      </c>
      <c r="G29" s="68">
        <f>SH</f>
        <v>2032</v>
      </c>
      <c r="H29" s="77"/>
      <c r="I29" s="135"/>
      <c r="J29" s="16"/>
      <c r="K29" s="16"/>
      <c r="L29" s="16"/>
      <c r="M29" s="16"/>
      <c r="N29" s="16"/>
      <c r="O29" s="16"/>
      <c r="P29" s="5"/>
      <c r="Q29" s="5"/>
      <c r="R29" s="5"/>
      <c r="S29" s="5"/>
      <c r="T29" s="5"/>
      <c r="U29" s="5"/>
      <c r="V29" s="16"/>
      <c r="W29" s="16"/>
      <c r="X29" s="16"/>
      <c r="Y29" s="16"/>
      <c r="Z29" s="16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2:38" x14ac:dyDescent="0.2">
      <c r="B30" s="95" t="s">
        <v>111</v>
      </c>
      <c r="C30" s="29" t="str">
        <f t="shared" si="0"/>
        <v>MT-6551</v>
      </c>
      <c r="D30" s="114" t="str">
        <f>IFERROR( VLOOKUP(C30,Descripciones!$A$2:$B$131,2,FALSE),"")</f>
        <v>Perfil cruce de hojas</v>
      </c>
      <c r="E30" s="114"/>
      <c r="F30" s="67">
        <f>2*VLOOKUP($D$7,$O$6:$Q$9,3,FALSE)</f>
        <v>2</v>
      </c>
      <c r="G30" s="68">
        <f>SH</f>
        <v>2032</v>
      </c>
      <c r="H30" s="77"/>
      <c r="I30" s="135"/>
      <c r="J30" s="16"/>
      <c r="K30" s="16"/>
      <c r="L30" s="16"/>
      <c r="M30" s="16"/>
      <c r="N30" s="16"/>
      <c r="O30" s="16"/>
      <c r="P30" s="5"/>
      <c r="Q30" s="5"/>
      <c r="R30" s="5"/>
      <c r="S30" s="5"/>
      <c r="T30" s="5"/>
      <c r="U30" s="5"/>
      <c r="V30" s="16"/>
      <c r="W30" s="16"/>
      <c r="X30" s="16"/>
      <c r="Y30" s="16"/>
      <c r="Z30" s="16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2:38" x14ac:dyDescent="0.2">
      <c r="B31" s="95" t="s">
        <v>112</v>
      </c>
      <c r="C31" s="29" t="str">
        <f t="shared" si="0"/>
        <v>MT-6550</v>
      </c>
      <c r="D31" s="114" t="str">
        <f>IFERROR( VLOOKUP(C31,Descripciones!$A$2:$B$131,2,FALSE),"")</f>
        <v>Perfi tapa cruce de hojas</v>
      </c>
      <c r="E31" s="114"/>
      <c r="F31" s="67">
        <f>2*VLOOKUP($D$7,$O$6:$Q$9,3,FALSE)</f>
        <v>2</v>
      </c>
      <c r="G31" s="68">
        <f>SH-97</f>
        <v>1935</v>
      </c>
      <c r="H31" s="77"/>
      <c r="I31" s="13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2:38" x14ac:dyDescent="0.2">
      <c r="B32" s="95" t="s">
        <v>113</v>
      </c>
      <c r="C32" s="29" t="str">
        <f t="shared" si="0"/>
        <v>MT-6544</v>
      </c>
      <c r="D32" s="114" t="str">
        <f>IFERROR( VLOOKUP(C32,Descripciones!$A$2:$B$131,2,FALSE),"")</f>
        <v>Perfil cierre marco lateral</v>
      </c>
      <c r="E32" s="114"/>
      <c r="F32" s="67">
        <v>2</v>
      </c>
      <c r="G32" s="68">
        <f>FH-83</f>
        <v>2017</v>
      </c>
      <c r="H32" s="77"/>
      <c r="I32" s="13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x14ac:dyDescent="0.2">
      <c r="B33" s="95" t="s">
        <v>114</v>
      </c>
      <c r="C33" s="29" t="str">
        <f t="shared" si="0"/>
        <v>MT-6545</v>
      </c>
      <c r="D33" s="114" t="str">
        <f>IFERROR( VLOOKUP(C33,Descripciones!$A$2:$B$131,2,FALSE),"")</f>
        <v>Perfil tapa</v>
      </c>
      <c r="E33" s="114"/>
      <c r="F33" s="67">
        <f>IF(OR(D7=O6,D7=O7),2,3)</f>
        <v>2</v>
      </c>
      <c r="G33" s="68">
        <f>FH-83</f>
        <v>2017</v>
      </c>
      <c r="H33" s="77"/>
      <c r="I33" s="135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x14ac:dyDescent="0.2">
      <c r="B34" s="95" t="str">
        <f>IF($D$10=$AE$4,"MT-6552","")</f>
        <v>MT-6552</v>
      </c>
      <c r="C34" s="29" t="str">
        <f t="shared" si="0"/>
        <v>MT-6552</v>
      </c>
      <c r="D34" s="114" t="str">
        <f>IFERROR( VLOOKUP(C34,Descripciones!$A$2:$B$131,2,FALSE),"")</f>
        <v>Perfil Refuerzo parante central</v>
      </c>
      <c r="E34" s="114"/>
      <c r="F34" s="67">
        <f>IF(B34&lt;&gt;"",VLOOKUP($D$7,$O$6:$R$9,4,FALSE),"")</f>
        <v>1</v>
      </c>
      <c r="G34" s="68">
        <f>IF(B34&lt;&gt;"",SH-62,"")</f>
        <v>1970</v>
      </c>
      <c r="H34" s="77"/>
      <c r="I34" s="135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8" customHeight="1" thickBot="1" x14ac:dyDescent="0.25">
      <c r="B35" s="96" t="str">
        <f>IF(OR($D$7=$O$8,$D$7=$O$9),"MT-6553","")</f>
        <v/>
      </c>
      <c r="C35" s="151" t="str">
        <f t="shared" si="0"/>
        <v/>
      </c>
      <c r="D35" s="115" t="str">
        <f>IFERROR( VLOOKUP(C35,Descripciones!$A$2:$B$131,2,FALSE),"")</f>
        <v/>
      </c>
      <c r="E35" s="115"/>
      <c r="F35" s="70" t="str">
        <f>IF(B35&lt;&gt;"",1,"")</f>
        <v/>
      </c>
      <c r="G35" s="71" t="str">
        <f>IF(B35&lt;&gt;"",SH-71,"")</f>
        <v/>
      </c>
      <c r="H35" s="78"/>
      <c r="I35" s="135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2.75" customHeight="1" x14ac:dyDescent="0.2">
      <c r="A36" s="5" t="s">
        <v>57</v>
      </c>
      <c r="B36" s="99" t="str">
        <f>IF($D$8=Colores!$H$2,VLOOKUP(A36,Colores!$B$2:$D$462,3,FALSE),VLOOKUP(A36,Colores!$B$2:$D$462,2,FALSE))</f>
        <v>GUI70012</v>
      </c>
      <c r="C36" s="153" t="str">
        <f>B36</f>
        <v>GUI70012</v>
      </c>
      <c r="D36" s="117" t="str">
        <f>IFERROR( VLOOKUP(A36,Descripciones!$A$2:$B$131,2,FALSE),"")</f>
        <v>Conjunto tapa/guia Inf/Sup</v>
      </c>
      <c r="E36" s="117"/>
      <c r="F36" s="65">
        <f>IF(D7=O6,2,IF(D7=O7,4,IF(D7=O8,2,IF(D7=O9,4,""))))</f>
        <v>2</v>
      </c>
      <c r="G36" s="66"/>
      <c r="H36" s="66"/>
      <c r="I36" s="145" t="s">
        <v>51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5"/>
      <c r="Z36" s="16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x14ac:dyDescent="0.2">
      <c r="A37" s="5" t="str">
        <f>IF(OR(D7=O8,D7=O9),"GUI70","")</f>
        <v/>
      </c>
      <c r="B37" s="100" t="str">
        <f>IF(A37&lt;&gt;"",IF($D$8=Colores!$H$2,VLOOKUP(A37,Colores!$B$2:$D$462,3,FALSE),VLOOKUP(A37,Colores!$B$2:$D$462,2,FALSE)),"")</f>
        <v/>
      </c>
      <c r="C37" s="154" t="str">
        <f>IF(B37&lt;&gt;"",B37,"")</f>
        <v/>
      </c>
      <c r="D37" s="114" t="str">
        <f>IFERROR( VLOOKUP(A37,Descripciones!$A$2:$B$131,2,FALSE),"")</f>
        <v/>
      </c>
      <c r="E37" s="114"/>
      <c r="F37" s="67" t="str">
        <f>IF(A37&lt;&gt;"",F36,"")</f>
        <v/>
      </c>
      <c r="G37" s="68"/>
      <c r="H37" s="68"/>
      <c r="I37" s="146"/>
      <c r="J37" s="16"/>
      <c r="K37" s="16"/>
      <c r="L37" s="16"/>
      <c r="M37" s="16"/>
      <c r="N37" s="16"/>
      <c r="O37" s="16"/>
      <c r="P37" s="16"/>
      <c r="Q37" s="16"/>
      <c r="R37" s="16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x14ac:dyDescent="0.2">
      <c r="A38" s="5" t="s">
        <v>19</v>
      </c>
      <c r="B38" s="100" t="str">
        <f>IF($D$8=Colores!$H$2,VLOOKUP(A38,Colores!$B$2:$D$462,3,FALSE),VLOOKUP(A38,Colores!$B$2:$D$462,2,FALSE))</f>
        <v>VDS10012</v>
      </c>
      <c r="C38" s="154" t="str">
        <f>B38</f>
        <v>VDS10012</v>
      </c>
      <c r="D38" s="114" t="str">
        <f>IFERROR( VLOOKUP(A38,Descripciones!$A$2:$B$131,2,FALSE),"")</f>
        <v>Tapon cruce de hojas</v>
      </c>
      <c r="E38" s="114"/>
      <c r="F38" s="67">
        <f>VLOOKUP(D7,O6:R9,3,FALSE)</f>
        <v>1</v>
      </c>
      <c r="G38" s="68"/>
      <c r="H38" s="68"/>
      <c r="I38" s="146"/>
      <c r="K38" s="16"/>
      <c r="L38" s="16"/>
      <c r="M38" s="1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2">
      <c r="A39" s="5" t="s">
        <v>22</v>
      </c>
      <c r="B39" s="100" t="str">
        <f>IF($D$8=Colores!$H$2,VLOOKUP(A39,Colores!$B$2:$D$462,3,FALSE),VLOOKUP(A39,Colores!$B$2:$D$462,2,FALSE))</f>
        <v>CNA06012</v>
      </c>
      <c r="C39" s="154" t="str">
        <f>B39</f>
        <v>CNA06012</v>
      </c>
      <c r="D39" s="114" t="str">
        <f>IFERROR( VLOOKUP(A39,Descripciones!$A$2:$B$131,2,FALSE),"")</f>
        <v>Escuadra de alineamiento 90º</v>
      </c>
      <c r="E39" s="114"/>
      <c r="F39" s="67">
        <f>8*D7</f>
        <v>16</v>
      </c>
      <c r="G39" s="68"/>
      <c r="H39" s="68"/>
      <c r="I39" s="146"/>
      <c r="K39" s="1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x14ac:dyDescent="0.2">
      <c r="A40" s="5" t="s">
        <v>41</v>
      </c>
      <c r="B40" s="100" t="str">
        <f>IF($D$8=Colores!$H$2,VLOOKUP(A40,Colores!$B$2:$D$462,3,FALSE),VLOOKUP(A40,Colores!$B$2:$D$462,2,FALSE))</f>
        <v>GUI62012</v>
      </c>
      <c r="C40" s="154" t="str">
        <f>B40</f>
        <v>GUI62012</v>
      </c>
      <c r="D40" s="114" t="str">
        <f>IFERROR( VLOOKUP(A40,Descripciones!$A$2:$B$131,2,FALSE),"")</f>
        <v>Guia hoja</v>
      </c>
      <c r="E40" s="114"/>
      <c r="F40" s="67">
        <f>4*D7</f>
        <v>8</v>
      </c>
      <c r="G40" s="68"/>
      <c r="H40" s="68"/>
      <c r="I40" s="146"/>
      <c r="K40" s="1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x14ac:dyDescent="0.2">
      <c r="A41" s="5" t="s">
        <v>115</v>
      </c>
      <c r="B41" s="100" t="str">
        <f>IF($D$8=Colores!$H$2,VLOOKUP(A41,Colores!$B$2:$D$462,3,FALSE),VLOOKUP(A41,Colores!$B$2:$D$462,2,FALSE))</f>
        <v>ME97</v>
      </c>
      <c r="C41" s="154" t="str">
        <f>B41</f>
        <v>ME97</v>
      </c>
      <c r="D41" s="114" t="str">
        <f>IFERROR( VLOOKUP(A41,Descripciones!$A$2:$B$131,2,FALSE),"")</f>
        <v>Escuadra de tracción</v>
      </c>
      <c r="E41" s="114"/>
      <c r="F41" s="67">
        <f>4*D7</f>
        <v>8</v>
      </c>
      <c r="G41" s="68"/>
      <c r="H41" s="68"/>
      <c r="I41" s="146"/>
      <c r="K41" s="16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x14ac:dyDescent="0.2">
      <c r="A42" s="5" t="s">
        <v>27</v>
      </c>
      <c r="B42" s="100" t="str">
        <f>IF($D$8=Colores!$H$2,VLOOKUP(A42,Colores!$B$2:$D$462,3,FALSE),VLOOKUP(A42,Colores!$B$2:$D$462,2,FALSE))</f>
        <v>VDD01012</v>
      </c>
      <c r="C42" s="154" t="str">
        <f>B42</f>
        <v>VDD01012</v>
      </c>
      <c r="D42" s="114" t="str">
        <f>IFERROR( VLOOKUP(A42,Descripciones!$A$2:$B$131,2,FALSE),"")</f>
        <v>Boca desagüe marco</v>
      </c>
      <c r="E42" s="114"/>
      <c r="F42" s="67">
        <f>VLOOKUP(D7,O4:R9,3,FALSE)</f>
        <v>1</v>
      </c>
      <c r="G42" s="68"/>
      <c r="H42" s="68"/>
      <c r="I42" s="14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x14ac:dyDescent="0.2">
      <c r="A43" s="5" t="s">
        <v>117</v>
      </c>
      <c r="B43" s="100" t="str">
        <f>IF($D$8=Colores!$H$2,VLOOKUP(A43,Colores!$B$2:$D$462,3,FALSE),VLOOKUP(A43,Colores!$B$2:$D$462,2,FALSE))</f>
        <v>MT-131</v>
      </c>
      <c r="C43" s="154" t="str">
        <f>B43</f>
        <v>MT-131</v>
      </c>
      <c r="D43" s="114" t="str">
        <f>IFERROR( VLOOKUP(A43,Descripciones!$A$2:$B$131,2,FALSE),"")</f>
        <v>Protector salida de agua</v>
      </c>
      <c r="E43" s="114"/>
      <c r="F43" s="67">
        <v>2</v>
      </c>
      <c r="G43" s="68"/>
      <c r="H43" s="68"/>
      <c r="I43" s="14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x14ac:dyDescent="0.2">
      <c r="A44" s="5" t="s">
        <v>118</v>
      </c>
      <c r="B44" s="100" t="str">
        <f>IF($D$8=Colores!$H$2,VLOOKUP(A44,Colores!$B$2:$D$462,3,FALSE),VLOOKUP(A44,Colores!$B$2:$D$462,2,FALSE))</f>
        <v>MT1</v>
      </c>
      <c r="C44" s="154" t="str">
        <f>B44</f>
        <v>MT1</v>
      </c>
      <c r="D44" s="114" t="str">
        <f>IFERROR( VLOOKUP(A44,Descripciones!$A$2:$B$131,2,FALSE),"")</f>
        <v>Tornillo PARKER Nº10 X 3/4"</v>
      </c>
      <c r="E44" s="114"/>
      <c r="F44" s="67">
        <f>IF(OR(D7=O7,D7=O9),12,8)</f>
        <v>8</v>
      </c>
      <c r="G44" s="68"/>
      <c r="H44" s="68"/>
      <c r="I44" s="14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x14ac:dyDescent="0.2">
      <c r="A45" s="5" t="s">
        <v>120</v>
      </c>
      <c r="B45" s="100" t="str">
        <f>IF($D$8=Colores!$H$2,VLOOKUP(A45,Colores!$B$2:$D$462,3,FALSE),VLOOKUP(A45,Colores!$B$2:$D$462,2,FALSE))</f>
        <v>MT14</v>
      </c>
      <c r="C45" s="154" t="str">
        <f>B45</f>
        <v>MT14</v>
      </c>
      <c r="D45" s="114" t="str">
        <f>IFERROR( VLOOKUP(A45,Descripciones!$A$2:$B$131,2,FALSE),"")</f>
        <v>Tornillos SO 7049 3.5X13 A2(DIN 7981)</v>
      </c>
      <c r="E45" s="114"/>
      <c r="F45" s="67">
        <f>(SH/1000*4)*(VLOOKUP(D7,O6:Q9,3,FALSE)*2)</f>
        <v>16.256</v>
      </c>
      <c r="G45" s="68"/>
      <c r="H45" s="68"/>
      <c r="I45" s="14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x14ac:dyDescent="0.2">
      <c r="A46" s="5" t="str">
        <f>IF(OR(D7=O6,D7=O8),"VDS21","VDS20")</f>
        <v>VDS21</v>
      </c>
      <c r="B46" s="100" t="str">
        <f>IF($D$8=Colores!$H$2,VLOOKUP(A46,Colores!$B$2:$D$462,3,FALSE),VLOOKUP(A46,Colores!$B$2:$D$462,2,FALSE))</f>
        <v>VDS21</v>
      </c>
      <c r="C46" s="154" t="str">
        <f>B46</f>
        <v>VDS21</v>
      </c>
      <c r="D46" s="114" t="str">
        <f>IFERROR( VLOOKUP(A46,Descripciones!$A$2:$B$131,2,FALSE),"")</f>
        <v>Junta lateral marco inferior</v>
      </c>
      <c r="E46" s="114"/>
      <c r="F46" s="67">
        <v>1</v>
      </c>
      <c r="G46" s="68"/>
      <c r="H46" s="68"/>
      <c r="I46" s="14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">
      <c r="A47" s="5" t="str">
        <f>IF(OR(D8=O7,D8=O9),"VDS19","VDS22")</f>
        <v>VDS22</v>
      </c>
      <c r="B47" s="100" t="str">
        <f>IF($D$8=Colores!$H$2,VLOOKUP(A47,Colores!$B$2:$D$462,3,FALSE),VLOOKUP(A47,Colores!$B$2:$D$462,2,FALSE))</f>
        <v>VDS22</v>
      </c>
      <c r="C47" s="154" t="str">
        <f>B47</f>
        <v>VDS22</v>
      </c>
      <c r="D47" s="114" t="str">
        <f>IFERROR( VLOOKUP(A47,Descripciones!$A$2:$B$131,2,FALSE),"")</f>
        <v>Junta estanqueidad marco superior</v>
      </c>
      <c r="E47" s="114"/>
      <c r="F47" s="67">
        <v>1</v>
      </c>
      <c r="G47" s="68"/>
      <c r="H47" s="68"/>
      <c r="I47" s="14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x14ac:dyDescent="0.2">
      <c r="A48" s="5" t="str">
        <f>IF($D$10=$AE$4,"MT312","")</f>
        <v>MT312</v>
      </c>
      <c r="B48" s="100" t="str">
        <f>IF(A48&lt;&gt;"",IF($D$8=Colores!$H$2,VLOOKUP(A48,Colores!$B$2:$D$462,3,FALSE),VLOOKUP(A48,Colores!$B$2:$D$462,2,FALSE)),"")</f>
        <v>MT312</v>
      </c>
      <c r="C48" s="154" t="str">
        <f>B48</f>
        <v>MT312</v>
      </c>
      <c r="D48" s="114" t="str">
        <f>IFERROR( VLOOKUP(A48,Descripciones!$A$2:$B$131,2,FALSE),"")</f>
        <v>Tapa refuerzo</v>
      </c>
      <c r="E48" s="114"/>
      <c r="F48" s="67">
        <f>IF(B48&lt;&gt;"",2*F34,"")</f>
        <v>2</v>
      </c>
      <c r="G48" s="68"/>
      <c r="H48" s="68"/>
      <c r="I48" s="1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120" x14ac:dyDescent="0.2">
      <c r="A49" s="5" t="str">
        <f>IF(OR(D7=O8,D7=O9),"GUI65","")</f>
        <v/>
      </c>
      <c r="B49" s="100" t="str">
        <f>IF(A49&lt;&gt;"",IF($D$8=Colores!$H$2,VLOOKUP(A49,Colores!$B$2:$D$462,3,FALSE),VLOOKUP(A49,Colores!$B$2:$D$462,2,FALSE)),"")</f>
        <v/>
      </c>
      <c r="C49" s="154" t="str">
        <f>IF(B49&lt;&gt;"",B49,"")</f>
        <v/>
      </c>
      <c r="D49" s="114" t="str">
        <f>IFERROR( VLOOKUP(A49,Descripciones!$A$2:$B$131,2,FALSE),"")</f>
        <v/>
      </c>
      <c r="E49" s="114"/>
      <c r="F49" s="67" t="str">
        <f>IF(B49&lt;&gt;"",1,"")</f>
        <v/>
      </c>
      <c r="G49" s="68"/>
      <c r="H49" s="68"/>
      <c r="I49" s="14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2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120" ht="22.5" customHeight="1" thickBot="1" x14ac:dyDescent="0.25">
      <c r="A50" s="5" t="str">
        <f>IF(OR(D7=O8,D7=O9),"ADP01A006","")</f>
        <v/>
      </c>
      <c r="B50" s="101" t="str">
        <f>IF(A50&lt;&gt;"",IF($D$8=Colores!$H$2,VLOOKUP(A50,Colores!$B$2:$D$462,3,FALSE),VLOOKUP(A50,Colores!$B$2:$D$462,2,FALSE)),"")</f>
        <v/>
      </c>
      <c r="C50" s="155" t="str">
        <f>IF(B50&lt;&gt;"",B50,"")</f>
        <v/>
      </c>
      <c r="D50" s="115" t="str">
        <f>IFERROR( VLOOKUP(A50,Descripciones!$A$2:$B$131,2,FALSE),"")</f>
        <v/>
      </c>
      <c r="E50" s="115"/>
      <c r="F50" s="70" t="str">
        <f>IF(B50&lt;&gt;"",IF(SH&lt;1000,2,SH/500),"")</f>
        <v/>
      </c>
      <c r="G50" s="71"/>
      <c r="H50" s="71"/>
      <c r="I50" s="14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2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120" ht="12.75" customHeight="1" x14ac:dyDescent="0.2">
      <c r="B51" s="94" t="s">
        <v>138</v>
      </c>
      <c r="C51" s="150" t="str">
        <f>B51</f>
        <v>FIT02</v>
      </c>
      <c r="D51" s="117" t="str">
        <f>IFERROR( VLOOKUP(B51,Descripciones!$A$2:$B$131,2,FALSE),"")</f>
        <v>Felpa cruce de hojas</v>
      </c>
      <c r="E51" s="117"/>
      <c r="F51" s="65">
        <v>1</v>
      </c>
      <c r="G51" s="66">
        <f>SH*VLOOKUP(D7,$O$6:$X$9,5,FALSE)</f>
        <v>4064</v>
      </c>
      <c r="H51" s="66"/>
      <c r="I51" s="142" t="s">
        <v>52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2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120" x14ac:dyDescent="0.2">
      <c r="B52" s="95" t="s">
        <v>9</v>
      </c>
      <c r="C52" s="29" t="str">
        <f>B52</f>
        <v>FIT01</v>
      </c>
      <c r="D52" s="114" t="str">
        <f>IFERROR( VLOOKUP(B52,Descripciones!$A$2:$B$131,2,FALSE),"")</f>
        <v>Felpa 7 x 6 con lamina central</v>
      </c>
      <c r="E52" s="114"/>
      <c r="F52" s="67">
        <v>1</v>
      </c>
      <c r="G52" s="68">
        <f xml:space="preserve"> ((SW)*VLOOKUP(D7,$O$6:$U$9,6,FALSE))+((SH)*VLOOKUP(D7,$O$6:$U$9,7,FALSE))</f>
        <v>16208</v>
      </c>
      <c r="H52" s="68"/>
      <c r="I52" s="14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2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120" x14ac:dyDescent="0.2">
      <c r="B53" s="95" t="str">
        <f>VLOOKUP($D$12,$AF$4:$AH$14,3,FALSE)</f>
        <v>MB31</v>
      </c>
      <c r="C53" s="29" t="str">
        <f>B53</f>
        <v>MB31</v>
      </c>
      <c r="D53" s="114" t="str">
        <f>IFERROR( VLOOKUP(B53,Descripciones!$A$2:$B$131,2,FALSE),"")</f>
        <v>Burlete cuña 4 mm</v>
      </c>
      <c r="E53" s="114"/>
      <c r="F53" s="67">
        <v>1</v>
      </c>
      <c r="G53" s="68">
        <f>SH*($D$7*4)+SW*($D$7*4)</f>
        <v>24336</v>
      </c>
      <c r="H53" s="68"/>
      <c r="I53" s="143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120" x14ac:dyDescent="0.2">
      <c r="B54" s="95" t="str">
        <f>VLOOKUP($D$12,$AF$4:$AH$14,2,FALSE)</f>
        <v>MB30</v>
      </c>
      <c r="C54" s="29" t="str">
        <f>B54</f>
        <v>MB30</v>
      </c>
      <c r="D54" s="114" t="str">
        <f>IFERROR( VLOOKUP(B54,Descripciones!$A$2:$B$131,2,FALSE),"")</f>
        <v>Burlete cuña 3 mm</v>
      </c>
      <c r="E54" s="114"/>
      <c r="F54" s="67">
        <v>1</v>
      </c>
      <c r="G54" s="68">
        <f>SH*($D$7*4)+SW*($D$7*4)</f>
        <v>24336</v>
      </c>
      <c r="H54" s="68"/>
      <c r="I54" s="143"/>
      <c r="K54" s="5"/>
      <c r="L54" s="5"/>
      <c r="M54" s="5"/>
      <c r="N54" s="5"/>
      <c r="O54" s="5"/>
      <c r="P54" s="28"/>
      <c r="Q54" s="34" t="s">
        <v>79</v>
      </c>
      <c r="R54" s="34" t="s">
        <v>77</v>
      </c>
      <c r="S54" s="35" t="s">
        <v>101</v>
      </c>
      <c r="T54" s="35" t="s">
        <v>258</v>
      </c>
      <c r="U54" s="35" t="s">
        <v>80</v>
      </c>
      <c r="V54" s="35" t="s">
        <v>142</v>
      </c>
      <c r="W54" s="28" t="s">
        <v>141</v>
      </c>
      <c r="X54" s="28" t="s">
        <v>143</v>
      </c>
      <c r="Y54" s="28" t="s">
        <v>144</v>
      </c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DO54" s="5"/>
      <c r="DP54" s="5"/>
    </row>
    <row r="55" spans="1:120" ht="16.5" customHeight="1" thickBot="1" x14ac:dyDescent="0.25">
      <c r="B55" s="96"/>
      <c r="C55" s="151"/>
      <c r="D55" s="115" t="str">
        <f>IFERROR( VLOOKUP(A55,Descripciones!$A$2:$B$131,2,FALSE),"")</f>
        <v/>
      </c>
      <c r="E55" s="115"/>
      <c r="F55" s="70"/>
      <c r="G55" s="71"/>
      <c r="H55" s="71"/>
      <c r="I55" s="144"/>
      <c r="K55" s="5"/>
      <c r="L55" s="5"/>
      <c r="M55" s="5"/>
      <c r="N55" s="5"/>
      <c r="O55" s="5"/>
      <c r="P55" s="28" t="s">
        <v>63</v>
      </c>
      <c r="Q55" s="35">
        <v>2</v>
      </c>
      <c r="R55" s="35">
        <v>1</v>
      </c>
      <c r="S55" s="35">
        <v>2</v>
      </c>
      <c r="T55" s="35">
        <v>2</v>
      </c>
      <c r="U55" s="35">
        <v>2</v>
      </c>
      <c r="V55" s="35">
        <v>1</v>
      </c>
      <c r="W55" s="28">
        <f>FW-54</f>
        <v>1946</v>
      </c>
      <c r="X55" s="28"/>
      <c r="Y55" s="28">
        <f>FW-54</f>
        <v>1946</v>
      </c>
      <c r="Z55" s="5">
        <v>1</v>
      </c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DO55" s="5"/>
      <c r="DP55" s="5"/>
    </row>
    <row r="56" spans="1:120" ht="12.75" hidden="1" customHeight="1" x14ac:dyDescent="0.25">
      <c r="B56" s="27" t="str">
        <f>CONCATENATE("V",D12," ANCHO")</f>
        <v>VDOBLE 21 ANCHO</v>
      </c>
      <c r="C56" s="156"/>
      <c r="D56" s="98">
        <f>D7</f>
        <v>2</v>
      </c>
      <c r="E56" s="98">
        <f>SW-128</f>
        <v>882</v>
      </c>
      <c r="F56" s="89"/>
      <c r="G56" s="90"/>
      <c r="H56" s="90"/>
      <c r="I56" s="47" t="s">
        <v>56</v>
      </c>
      <c r="K56" s="5"/>
      <c r="L56" s="5"/>
      <c r="M56" s="5"/>
      <c r="N56" s="5"/>
      <c r="O56" s="5"/>
      <c r="P56" s="30" t="s">
        <v>71</v>
      </c>
      <c r="Q56" s="35">
        <v>4</v>
      </c>
      <c r="R56" s="35">
        <v>1</v>
      </c>
      <c r="S56" s="35">
        <v>4</v>
      </c>
      <c r="T56" s="35">
        <v>2</v>
      </c>
      <c r="U56" s="35">
        <v>4</v>
      </c>
      <c r="V56" s="35">
        <v>1</v>
      </c>
      <c r="W56" s="28">
        <f>FW-41</f>
        <v>1959</v>
      </c>
      <c r="X56" s="28"/>
      <c r="Y56" s="28">
        <f>FW-68</f>
        <v>1932</v>
      </c>
      <c r="Z56" s="5">
        <v>2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DO56" s="5"/>
      <c r="DP56" s="5"/>
    </row>
    <row r="57" spans="1:120" ht="13.5" hidden="1" thickBot="1" x14ac:dyDescent="0.25">
      <c r="B57" s="18" t="str">
        <f>CONCATENATE("V",D12," ALTO")</f>
        <v>VDOBLE 21 ALTO</v>
      </c>
      <c r="C57" s="52"/>
      <c r="D57" s="111">
        <f>D7</f>
        <v>2</v>
      </c>
      <c r="E57" s="111">
        <f>SH-128</f>
        <v>1904</v>
      </c>
      <c r="F57" s="67"/>
      <c r="G57" s="68"/>
      <c r="H57" s="68"/>
      <c r="I57" s="47"/>
      <c r="K57" s="5"/>
      <c r="L57" s="5"/>
      <c r="M57" s="5"/>
      <c r="N57" s="5"/>
      <c r="O57" s="5"/>
      <c r="P57" s="28" t="s">
        <v>72</v>
      </c>
      <c r="Q57" s="35">
        <v>4</v>
      </c>
      <c r="R57" s="35">
        <v>3</v>
      </c>
      <c r="S57" s="35">
        <v>8</v>
      </c>
      <c r="T57" s="35">
        <v>6</v>
      </c>
      <c r="U57" s="35">
        <v>4</v>
      </c>
      <c r="V57" s="35">
        <v>1</v>
      </c>
      <c r="W57" s="28">
        <f>FW-68</f>
        <v>1932</v>
      </c>
      <c r="X57" s="28">
        <v>1</v>
      </c>
      <c r="Y57" s="28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DO57" s="5"/>
      <c r="DP57" s="5"/>
    </row>
    <row r="58" spans="1:120" ht="13.5" hidden="1" thickBot="1" x14ac:dyDescent="0.25">
      <c r="B58" s="18" t="str">
        <f>CONCATENATE("V",D12)</f>
        <v>VDOBLE 21</v>
      </c>
      <c r="C58" s="52" t="str">
        <f>B58</f>
        <v>VDOBLE 21</v>
      </c>
      <c r="D58" s="52"/>
      <c r="E58" s="52"/>
      <c r="F58" s="67">
        <f>D7</f>
        <v>2</v>
      </c>
      <c r="G58" s="68">
        <f>SW-128</f>
        <v>882</v>
      </c>
      <c r="H58" s="68">
        <f>SH-128</f>
        <v>1904</v>
      </c>
      <c r="I58" s="47"/>
      <c r="K58" s="5"/>
      <c r="L58" s="5"/>
      <c r="M58" s="5"/>
      <c r="N58" s="5"/>
      <c r="O58" s="5"/>
      <c r="P58" s="28" t="s">
        <v>64</v>
      </c>
      <c r="Q58" s="35">
        <v>2</v>
      </c>
      <c r="R58" s="35">
        <v>2</v>
      </c>
      <c r="S58" s="35">
        <v>4</v>
      </c>
      <c r="T58" s="35">
        <v>4</v>
      </c>
      <c r="U58" s="35">
        <v>2</v>
      </c>
      <c r="V58" s="35">
        <v>2</v>
      </c>
      <c r="W58" s="28">
        <f>FW-54</f>
        <v>1946</v>
      </c>
      <c r="X58" s="28"/>
      <c r="Y58" s="28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DO58" s="5"/>
      <c r="DP58" s="5"/>
    </row>
    <row r="59" spans="1:120" ht="33" hidden="1" customHeight="1" x14ac:dyDescent="0.25">
      <c r="B59" s="29">
        <v>538297</v>
      </c>
      <c r="C59" s="52" t="str">
        <f>CONCATENATE("RO_",B59)</f>
        <v>RO_538297</v>
      </c>
      <c r="D59" s="52"/>
      <c r="E59" s="52"/>
      <c r="F59" s="67">
        <f>2*D7</f>
        <v>4</v>
      </c>
      <c r="G59" s="68"/>
      <c r="H59" s="72"/>
      <c r="I59" s="47"/>
      <c r="K59" s="5"/>
      <c r="L59" s="5"/>
      <c r="M59" s="5"/>
      <c r="N59" s="5"/>
      <c r="O59" s="5"/>
      <c r="P59" s="83" t="s">
        <v>139</v>
      </c>
      <c r="Q59" s="84">
        <v>3</v>
      </c>
      <c r="R59" s="85">
        <v>1</v>
      </c>
      <c r="S59" s="84">
        <v>4</v>
      </c>
      <c r="T59" s="84">
        <v>2</v>
      </c>
      <c r="U59" s="84">
        <v>4</v>
      </c>
      <c r="V59" s="84">
        <v>2</v>
      </c>
      <c r="W59" s="83">
        <f>FW-54</f>
        <v>1946</v>
      </c>
      <c r="X59" s="83"/>
      <c r="Y59" s="83">
        <f>FW-54</f>
        <v>1946</v>
      </c>
      <c r="Z59" s="82">
        <v>1</v>
      </c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DO59" s="5"/>
      <c r="DP59" s="5"/>
    </row>
    <row r="60" spans="1:120" ht="13.5" hidden="1" customHeight="1" thickBot="1" x14ac:dyDescent="0.25">
      <c r="B60" s="86">
        <v>538303</v>
      </c>
      <c r="C60" s="53" t="str">
        <f>CONCATENATE("RO_",B60)</f>
        <v>RO_538303</v>
      </c>
      <c r="D60" s="53"/>
      <c r="E60" s="53"/>
      <c r="F60" s="74">
        <f>8*D7</f>
        <v>16</v>
      </c>
      <c r="G60" s="75"/>
      <c r="H60" s="76"/>
      <c r="I60" s="47"/>
      <c r="K60" s="5"/>
      <c r="L60" s="5"/>
      <c r="M60" s="5"/>
      <c r="N60" s="5"/>
      <c r="O60" s="5"/>
      <c r="P60" s="28" t="s">
        <v>73</v>
      </c>
      <c r="Q60" s="35">
        <v>3</v>
      </c>
      <c r="R60" s="35">
        <v>2</v>
      </c>
      <c r="S60" s="35">
        <v>6</v>
      </c>
      <c r="T60" s="35">
        <v>4</v>
      </c>
      <c r="U60" s="35">
        <v>4</v>
      </c>
      <c r="V60" s="35">
        <v>2</v>
      </c>
      <c r="W60" s="28">
        <f>FW-54</f>
        <v>1946</v>
      </c>
      <c r="X60" s="28">
        <v>1</v>
      </c>
      <c r="Y60" s="28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DO60" s="5"/>
      <c r="DP60" s="5"/>
    </row>
    <row r="61" spans="1:120" ht="12.75" customHeight="1" x14ac:dyDescent="0.2">
      <c r="B61" s="91">
        <f>(IF(AND(SH&gt;240,SH&lt;=400),Q73,IF(AND(SH&gt;400,SH&lt;=600),Q74,IF(AND(SH&gt;600,SH&lt;=800),Q75,IF(AND(SH&gt;800,SH&lt;=1000),Q76,IF(AND(SH&gt;1000,SH&lt;=1200),Q77,IF(AND(SH&gt;1200,SH&lt;=1800),Q78,IF(SH&gt;1800,Q79,""))))))))</f>
        <v>628497</v>
      </c>
      <c r="C61" s="150">
        <f>B61</f>
        <v>628497</v>
      </c>
      <c r="D61" s="116" t="str">
        <f>IFERROR( VLOOKUP(B61,Descripciones!$A$2:$B$131,2,FALSE),"")</f>
        <v>Cremona aguja acción simple 17 mm 1201 – 1800</v>
      </c>
      <c r="E61" s="116"/>
      <c r="F61" s="66">
        <f>VLOOKUP($D$4,$P$55:$W$63,3,FALSE)</f>
        <v>1</v>
      </c>
      <c r="G61" s="66"/>
      <c r="H61" s="79"/>
      <c r="I61" s="118" t="s">
        <v>81</v>
      </c>
      <c r="K61" s="5"/>
      <c r="L61" s="5"/>
      <c r="M61" s="5"/>
      <c r="N61" s="5"/>
      <c r="O61" s="5"/>
      <c r="P61" s="28" t="s">
        <v>74</v>
      </c>
      <c r="Q61" s="35">
        <v>3</v>
      </c>
      <c r="R61" s="35">
        <v>2</v>
      </c>
      <c r="S61" s="35">
        <v>4</v>
      </c>
      <c r="T61" s="35">
        <v>4</v>
      </c>
      <c r="U61" s="35">
        <v>4</v>
      </c>
      <c r="V61" s="35">
        <v>1</v>
      </c>
      <c r="W61" s="28">
        <f>FW-68</f>
        <v>1932</v>
      </c>
      <c r="X61" s="28"/>
      <c r="Y61" s="28">
        <f>FW-41</f>
        <v>1959</v>
      </c>
      <c r="Z61" s="5">
        <v>1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DO61" s="5"/>
      <c r="DP61" s="5"/>
    </row>
    <row r="62" spans="1:120" x14ac:dyDescent="0.2">
      <c r="B62" s="92">
        <f>VLOOKUP(D13,P$85:$Q88,2,FALSE)</f>
        <v>773140</v>
      </c>
      <c r="C62" s="29">
        <f>B62</f>
        <v>773140</v>
      </c>
      <c r="D62" s="112" t="str">
        <f>IFERROR( VLOOKUP(B62,Descripciones!$A$2:$B$131,2,FALSE),"")</f>
        <v>Manija Patio S 30 mm,R 06.2 Negro</v>
      </c>
      <c r="E62" s="112"/>
      <c r="F62" s="68">
        <f>VLOOKUP(D4,$P$55:$W$63,3,FALSE)</f>
        <v>1</v>
      </c>
      <c r="G62" s="68"/>
      <c r="H62" s="77"/>
      <c r="I62" s="119"/>
      <c r="K62" s="5"/>
      <c r="L62" s="5"/>
      <c r="M62" s="5"/>
      <c r="N62" s="5"/>
      <c r="O62" s="5"/>
      <c r="P62" s="83" t="s">
        <v>140</v>
      </c>
      <c r="Q62" s="84">
        <v>6</v>
      </c>
      <c r="R62" s="85">
        <v>1</v>
      </c>
      <c r="S62" s="84">
        <v>8</v>
      </c>
      <c r="T62" s="84">
        <v>2</v>
      </c>
      <c r="U62" s="84">
        <v>8</v>
      </c>
      <c r="V62" s="84">
        <v>2</v>
      </c>
      <c r="W62" s="83">
        <f>FW-41</f>
        <v>1959</v>
      </c>
      <c r="X62" s="83"/>
      <c r="Y62" s="83">
        <f>FW-68</f>
        <v>1932</v>
      </c>
      <c r="Z62" s="82">
        <v>2</v>
      </c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DO62" s="5"/>
      <c r="DP62" s="5"/>
    </row>
    <row r="63" spans="1:120" x14ac:dyDescent="0.2">
      <c r="B63" s="92">
        <v>765293</v>
      </c>
      <c r="C63" s="29">
        <f>B63</f>
        <v>765293</v>
      </c>
      <c r="D63" s="112" t="str">
        <f>IFERROR( VLOOKUP(B63,Descripciones!$A$2:$B$131,2,FALSE),"")</f>
        <v>Separadores</v>
      </c>
      <c r="E63" s="112"/>
      <c r="F63" s="68">
        <f>VLOOKUP($B$61,$Q$74:$S$80,2,FALSE)*$F$61</f>
        <v>2</v>
      </c>
      <c r="G63" s="68"/>
      <c r="H63" s="77"/>
      <c r="I63" s="119"/>
      <c r="K63" s="5"/>
      <c r="L63" s="5"/>
      <c r="M63" s="5"/>
      <c r="N63" s="5"/>
      <c r="O63" s="5"/>
      <c r="P63" s="28" t="s">
        <v>75</v>
      </c>
      <c r="Q63" s="35">
        <v>6</v>
      </c>
      <c r="R63" s="35">
        <v>3</v>
      </c>
      <c r="S63" s="35">
        <v>12</v>
      </c>
      <c r="T63" s="35">
        <v>6</v>
      </c>
      <c r="U63" s="35">
        <v>8</v>
      </c>
      <c r="V63" s="35">
        <v>1</v>
      </c>
      <c r="W63" s="28">
        <f>FW-68</f>
        <v>1932</v>
      </c>
      <c r="X63" s="28">
        <v>2</v>
      </c>
      <c r="Y63" s="28"/>
      <c r="Z63" s="16"/>
      <c r="AA63" s="16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DO63" s="5"/>
      <c r="DP63" s="5"/>
    </row>
    <row r="64" spans="1:120" x14ac:dyDescent="0.2">
      <c r="B64" s="92">
        <v>478413</v>
      </c>
      <c r="C64" s="29">
        <f>B64</f>
        <v>478413</v>
      </c>
      <c r="D64" s="112" t="str">
        <f>IFERROR( VLOOKUP(B64,Descripciones!$A$2:$B$131,2,FALSE),"")</f>
        <v>Cerraderos</v>
      </c>
      <c r="E64" s="112"/>
      <c r="F64" s="68">
        <f>VLOOKUP($B$61,$Q$74:$S$80,3,FALSE)*$F$61</f>
        <v>3</v>
      </c>
      <c r="G64" s="68"/>
      <c r="H64" s="77"/>
      <c r="I64" s="119"/>
      <c r="K64" s="5"/>
      <c r="L64" s="5"/>
      <c r="M64" s="5"/>
      <c r="N64" s="5"/>
      <c r="O64" s="5"/>
      <c r="P64" s="5"/>
      <c r="Q64" s="5"/>
      <c r="S64" s="16"/>
      <c r="T64" s="16"/>
      <c r="U64" s="16"/>
      <c r="V64" s="5"/>
      <c r="W64" s="16"/>
      <c r="X64" s="16"/>
      <c r="Y64" s="16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2:38" x14ac:dyDescent="0.2">
      <c r="B65" s="92">
        <v>615951</v>
      </c>
      <c r="C65" s="29">
        <f>B65</f>
        <v>615951</v>
      </c>
      <c r="D65" s="112" t="str">
        <f>IFERROR( VLOOKUP(B65,Descripciones!$A$2:$B$131,2,FALSE),"")</f>
        <v>carro corrediza 120 kg</v>
      </c>
      <c r="E65" s="112"/>
      <c r="F65" s="68">
        <f>VLOOKUP($D$4,$P$54:$S$63,4,FALSE)</f>
        <v>2</v>
      </c>
      <c r="G65" s="68"/>
      <c r="H65" s="77"/>
      <c r="I65" s="119"/>
      <c r="J65" s="16"/>
      <c r="K65" s="5"/>
      <c r="L65" s="5"/>
      <c r="M65" s="5"/>
      <c r="N65" s="16"/>
      <c r="O65" s="16"/>
      <c r="P65" s="5"/>
      <c r="Q65" s="5"/>
      <c r="R65" s="5"/>
      <c r="S65" s="16"/>
      <c r="T65" s="16"/>
      <c r="U65" s="16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2:38" x14ac:dyDescent="0.2">
      <c r="B66" s="92">
        <v>642371</v>
      </c>
      <c r="C66" s="29">
        <f>B66</f>
        <v>642371</v>
      </c>
      <c r="D66" s="112" t="str">
        <f>IFERROR( VLOOKUP(B66,Descripciones!$A$2:$B$131,2,FALSE),"")</f>
        <v>Calzos para carros</v>
      </c>
      <c r="E66" s="112"/>
      <c r="F66" s="68">
        <f>VLOOKUP($D$4,$P$54:$S$63,4,FALSE)</f>
        <v>2</v>
      </c>
      <c r="G66" s="68"/>
      <c r="H66" s="77"/>
      <c r="I66" s="119"/>
      <c r="K66" s="5"/>
      <c r="L66" s="16"/>
      <c r="M66" s="16"/>
      <c r="N66" s="5"/>
      <c r="O66" s="5"/>
      <c r="P66" s="16"/>
      <c r="Q66" s="16"/>
      <c r="R66" s="16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2:38" x14ac:dyDescent="0.2">
      <c r="B67" s="92">
        <f>IF(D8="Blanco",317250,335555)</f>
        <v>335555</v>
      </c>
      <c r="C67" s="29">
        <f>B67</f>
        <v>335555</v>
      </c>
      <c r="D67" s="112" t="str">
        <f>IFERROR( VLOOKUP(B67,Descripciones!$A$2:$B$131,2,FALSE),"")</f>
        <v>Tope negro R06.2</v>
      </c>
      <c r="E67" s="112"/>
      <c r="F67" s="68">
        <f>VLOOKUP($D$4,$P$55:$U$63,6,FALSE)</f>
        <v>2</v>
      </c>
      <c r="G67" s="68"/>
      <c r="H67" s="77"/>
      <c r="I67" s="119"/>
      <c r="K67" s="16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2:38" x14ac:dyDescent="0.2">
      <c r="B68" s="92" t="s">
        <v>102</v>
      </c>
      <c r="C68" s="29" t="str">
        <f>B68</f>
        <v>BTD16</v>
      </c>
      <c r="D68" s="112" t="str">
        <f>IFERROR( VLOOKUP(B68,Descripciones!$A$2:$B$131,2,FALSE),"")</f>
        <v>Tope hoja</v>
      </c>
      <c r="E68" s="112"/>
      <c r="F68" s="68">
        <f>VLOOKUP($D$4,$P$55:$U$63,5,FALSE)</f>
        <v>2</v>
      </c>
      <c r="G68" s="68"/>
      <c r="H68" s="77"/>
      <c r="I68" s="119"/>
      <c r="K68" s="5"/>
      <c r="L68" s="5"/>
      <c r="M68" s="5"/>
      <c r="N68" s="5"/>
      <c r="O68" s="5"/>
      <c r="P68" s="28"/>
      <c r="Q68" s="28" t="s">
        <v>83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2:38" ht="13.5" thickBot="1" x14ac:dyDescent="0.25">
      <c r="B69" s="93" t="str">
        <f>IF(OR(D4=ESQUEMA_A,D4=ESQUEMA_C,D4=ESQUEMA_L,D4=ESQUEMA_K,D4=ESQUEMA_M),"CFF08042","")</f>
        <v>CFF08042</v>
      </c>
      <c r="C69" s="151" t="str">
        <f>B69</f>
        <v>CFF08042</v>
      </c>
      <c r="D69" s="113" t="str">
        <f>IFERROR( VLOOKUP(B69,Descripciones!$A$2:$B$131,2,FALSE),"")</f>
        <v>Tope hoja fija</v>
      </c>
      <c r="E69" s="113"/>
      <c r="F69" s="71">
        <f>VLOOKUP(D4,P54:Z62,11,FALSE)*8</f>
        <v>8</v>
      </c>
      <c r="G69" s="71"/>
      <c r="H69" s="78"/>
      <c r="I69" s="120"/>
      <c r="K69" s="5"/>
      <c r="L69" s="5"/>
      <c r="M69" s="5"/>
      <c r="N69" s="5"/>
      <c r="O69" s="5"/>
      <c r="P69" s="28" t="s">
        <v>13</v>
      </c>
      <c r="Q69" s="28">
        <v>791780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2:38" x14ac:dyDescent="0.2">
      <c r="K70" s="5"/>
      <c r="L70" s="5"/>
      <c r="M70" s="5"/>
      <c r="N70" s="5"/>
      <c r="O70" s="5"/>
      <c r="P70" s="28" t="s">
        <v>14</v>
      </c>
      <c r="Q70" s="28">
        <v>791781</v>
      </c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2:38" x14ac:dyDescent="0.2">
      <c r="K71" s="5"/>
      <c r="L71" s="5"/>
      <c r="M71" s="5"/>
      <c r="N71" s="5"/>
      <c r="O71" s="5"/>
      <c r="P71" s="28" t="s">
        <v>82</v>
      </c>
      <c r="Q71" s="28">
        <v>791782</v>
      </c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2:38" x14ac:dyDescent="0.2">
      <c r="K72" s="5"/>
      <c r="L72" s="5"/>
      <c r="M72" s="5"/>
      <c r="N72" s="5"/>
      <c r="O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2:38" x14ac:dyDescent="0.2">
      <c r="K73" s="5"/>
      <c r="L73" s="5"/>
      <c r="M73" s="5"/>
      <c r="N73" s="5"/>
      <c r="O73" s="5"/>
      <c r="P73" s="28" t="s">
        <v>94</v>
      </c>
      <c r="Q73" s="28" t="s">
        <v>84</v>
      </c>
      <c r="R73" s="28" t="s">
        <v>85</v>
      </c>
      <c r="S73" s="28" t="s">
        <v>86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2:38" x14ac:dyDescent="0.2">
      <c r="K74" s="5"/>
      <c r="L74" s="5"/>
      <c r="M74" s="5"/>
      <c r="N74" s="5"/>
      <c r="O74" s="5"/>
      <c r="P74" s="28" t="s">
        <v>87</v>
      </c>
      <c r="Q74" s="28">
        <v>628482</v>
      </c>
      <c r="R74" s="28">
        <v>1</v>
      </c>
      <c r="S74" s="28">
        <v>2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2:38" x14ac:dyDescent="0.2">
      <c r="K75" s="5"/>
      <c r="L75" s="5"/>
      <c r="M75" s="5"/>
      <c r="N75" s="5"/>
      <c r="O75" s="5"/>
      <c r="P75" s="28" t="s">
        <v>88</v>
      </c>
      <c r="Q75" s="28">
        <v>628483</v>
      </c>
      <c r="R75" s="28">
        <v>2</v>
      </c>
      <c r="S75" s="28">
        <v>2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2:38" x14ac:dyDescent="0.2">
      <c r="K76" s="5"/>
      <c r="L76" s="5"/>
      <c r="M76" s="5"/>
      <c r="N76" s="5"/>
      <c r="O76" s="5"/>
      <c r="P76" s="28" t="s">
        <v>89</v>
      </c>
      <c r="Q76" s="28">
        <v>628484</v>
      </c>
      <c r="R76" s="28">
        <v>1</v>
      </c>
      <c r="S76" s="28">
        <v>2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2:38" x14ac:dyDescent="0.2">
      <c r="K77" s="5"/>
      <c r="L77" s="5"/>
      <c r="M77" s="5"/>
      <c r="N77" s="5"/>
      <c r="O77" s="5"/>
      <c r="P77" s="28" t="s">
        <v>90</v>
      </c>
      <c r="Q77" s="28">
        <v>628495</v>
      </c>
      <c r="R77" s="28">
        <v>1</v>
      </c>
      <c r="S77" s="28">
        <v>2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2:38" x14ac:dyDescent="0.2">
      <c r="K78" s="5"/>
      <c r="L78" s="5"/>
      <c r="M78" s="5"/>
      <c r="N78" s="5"/>
      <c r="O78" s="5"/>
      <c r="P78" s="28" t="s">
        <v>91</v>
      </c>
      <c r="Q78" s="28">
        <v>628496</v>
      </c>
      <c r="R78" s="28">
        <v>2</v>
      </c>
      <c r="S78" s="28">
        <v>3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2:38" x14ac:dyDescent="0.2">
      <c r="K79" s="5"/>
      <c r="L79" s="5"/>
      <c r="M79" s="5"/>
      <c r="N79" s="5"/>
      <c r="O79" s="5"/>
      <c r="P79" s="28" t="s">
        <v>92</v>
      </c>
      <c r="Q79" s="28">
        <v>628497</v>
      </c>
      <c r="R79" s="28">
        <v>2</v>
      </c>
      <c r="S79" s="28">
        <v>3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2:38" x14ac:dyDescent="0.2">
      <c r="K80" s="5"/>
      <c r="L80" s="5"/>
      <c r="M80" s="5"/>
      <c r="N80" s="5"/>
      <c r="O80" s="5"/>
      <c r="P80" s="28" t="s">
        <v>93</v>
      </c>
      <c r="Q80" s="28">
        <v>628498</v>
      </c>
      <c r="R80" s="28">
        <v>3</v>
      </c>
      <c r="S80" s="28">
        <v>4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1:38" x14ac:dyDescent="0.2">
      <c r="K81" s="5"/>
      <c r="L81" s="5"/>
      <c r="M81" s="5"/>
      <c r="N81" s="5"/>
      <c r="O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1:38" s="5" customFormat="1" x14ac:dyDescent="0.2"/>
    <row r="83" spans="11:38" s="5" customFormat="1" x14ac:dyDescent="0.2"/>
    <row r="84" spans="11:38" s="5" customFormat="1" x14ac:dyDescent="0.2">
      <c r="P84" s="60"/>
      <c r="Q84" s="60" t="s">
        <v>100</v>
      </c>
    </row>
    <row r="85" spans="11:38" s="5" customFormat="1" x14ac:dyDescent="0.2">
      <c r="P85" s="60" t="s">
        <v>96</v>
      </c>
      <c r="Q85" s="60">
        <f>IF($D$9="Blanco",772358,IF($D$9="Negro",773140,IF($D$9="Titan",228728,"")))</f>
        <v>773140</v>
      </c>
      <c r="R85" s="57"/>
      <c r="S85" s="57" t="s">
        <v>68</v>
      </c>
    </row>
    <row r="86" spans="11:38" s="5" customFormat="1" x14ac:dyDescent="0.2">
      <c r="P86" s="60" t="s">
        <v>97</v>
      </c>
      <c r="Q86" s="60">
        <f>IF($D$9="Blanco",643675,IF($D$9="Negro",637960,IF($D$9="Titan",643644,"")))</f>
        <v>637960</v>
      </c>
      <c r="R86" s="57"/>
      <c r="S86" s="57" t="s">
        <v>67</v>
      </c>
    </row>
    <row r="87" spans="11:38" s="5" customFormat="1" ht="15.75" customHeight="1" x14ac:dyDescent="0.2">
      <c r="P87" s="60" t="s">
        <v>98</v>
      </c>
      <c r="Q87" s="60">
        <f>IF($D$9="Blanco",738920,IF($D$9="Negro",738919,IF($D$9="Titan",738921,"")))</f>
        <v>738919</v>
      </c>
      <c r="R87" s="57"/>
      <c r="S87" s="57" t="s">
        <v>69</v>
      </c>
    </row>
    <row r="88" spans="11:38" s="5" customFormat="1" x14ac:dyDescent="0.2">
      <c r="P88" s="60" t="s">
        <v>99</v>
      </c>
      <c r="Q88" s="60">
        <f>IF($D$9="Blanco",738966,IF($D$9="Negro",738965,IF($D$9="Titan",738967,"")))</f>
        <v>738965</v>
      </c>
      <c r="R88" s="57"/>
      <c r="S88" s="57"/>
    </row>
    <row r="89" spans="11:38" s="5" customFormat="1" x14ac:dyDescent="0.2">
      <c r="R89" s="57"/>
      <c r="S89" s="57"/>
    </row>
    <row r="90" spans="11:38" s="5" customFormat="1" x14ac:dyDescent="0.2"/>
    <row r="91" spans="11:38" s="5" customFormat="1" x14ac:dyDescent="0.2"/>
    <row r="92" spans="11:38" s="5" customFormat="1" x14ac:dyDescent="0.2"/>
    <row r="93" spans="11:38" s="5" customFormat="1" x14ac:dyDescent="0.2"/>
    <row r="94" spans="11:38" s="5" customFormat="1" x14ac:dyDescent="0.2"/>
    <row r="95" spans="11:38" s="5" customFormat="1" x14ac:dyDescent="0.2"/>
    <row r="96" spans="11:38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pans="16:21" s="5" customFormat="1" x14ac:dyDescent="0.2"/>
    <row r="546" spans="16:21" s="5" customFormat="1" x14ac:dyDescent="0.2"/>
    <row r="547" spans="16:21" x14ac:dyDescent="0.2">
      <c r="P547" s="5"/>
      <c r="Q547" s="5"/>
      <c r="R547" s="5"/>
      <c r="S547" s="5"/>
      <c r="T547" s="5"/>
      <c r="U547" s="5"/>
    </row>
  </sheetData>
  <mergeCells count="51">
    <mergeCell ref="I22:I35"/>
    <mergeCell ref="D23:E23"/>
    <mergeCell ref="D24:E24"/>
    <mergeCell ref="D25:E25"/>
    <mergeCell ref="D26:E26"/>
    <mergeCell ref="D32:E32"/>
    <mergeCell ref="B1:H2"/>
    <mergeCell ref="E4:H12"/>
    <mergeCell ref="B20:H20"/>
    <mergeCell ref="D21:E21"/>
    <mergeCell ref="D22:E22"/>
    <mergeCell ref="D27:E27"/>
    <mergeCell ref="D28:E28"/>
    <mergeCell ref="D29:E29"/>
    <mergeCell ref="D30:E30"/>
    <mergeCell ref="D31:E31"/>
    <mergeCell ref="D47:E47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8:E48"/>
    <mergeCell ref="D49:E49"/>
    <mergeCell ref="D50:E50"/>
    <mergeCell ref="D51:E51"/>
    <mergeCell ref="I51:I55"/>
    <mergeCell ref="D52:E52"/>
    <mergeCell ref="D53:E53"/>
    <mergeCell ref="D54:E54"/>
    <mergeCell ref="D55:E55"/>
    <mergeCell ref="I36:I50"/>
    <mergeCell ref="D69:E69"/>
    <mergeCell ref="I61:I69"/>
    <mergeCell ref="D61:E61"/>
    <mergeCell ref="D62:E62"/>
    <mergeCell ref="D63:E63"/>
    <mergeCell ref="D64:E64"/>
    <mergeCell ref="D65:E65"/>
    <mergeCell ref="D66:E66"/>
    <mergeCell ref="D67:E67"/>
    <mergeCell ref="D68:E68"/>
  </mergeCells>
  <dataValidations count="7">
    <dataValidation type="list" allowBlank="1" showInputMessage="1" showErrorMessage="1" sqref="D4">
      <formula1>$P$55:$P$63</formula1>
    </dataValidation>
    <dataValidation type="custom" allowBlank="1" showInputMessage="1" showErrorMessage="1" errorTitle="ERROR MEDIDA HOJAS" error="Medida minima altura hoja 850 - Medida máxima altura hoja 2600" sqref="D6">
      <formula1>AND(D19&gt;850,D19&lt;=2600)</formula1>
    </dataValidation>
    <dataValidation type="custom" allowBlank="1" showInputMessage="1" showErrorMessage="1" errorTitle="ERROR MEDIDA HOJAS" error="Medida minima anchura hoja 610 - Medida máxima anchura hoja 1400" sqref="D5">
      <formula1>AND(D18&gt;610,D18&lt;=1400)</formula1>
    </dataValidation>
    <dataValidation type="list" allowBlank="1" showInputMessage="1" showErrorMessage="1" sqref="D12">
      <formula1>$AF$4:$AF$14</formula1>
    </dataValidation>
    <dataValidation type="list" allowBlank="1" showInputMessage="1" showErrorMessage="1" sqref="D11">
      <formula1>$AD$4:$AD$5</formula1>
    </dataValidation>
    <dataValidation type="list" allowBlank="1" showInputMessage="1" showErrorMessage="1" sqref="D10">
      <formula1>$AE$4:$AE$5</formula1>
    </dataValidation>
    <dataValidation type="list" allowBlank="1" showInputMessage="1" showErrorMessage="1" sqref="D13">
      <formula1>$P$85:$P$88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Colores!$J$1:$J$3</xm:f>
          </x14:formula1>
          <xm:sqref>D9</xm:sqref>
        </x14:dataValidation>
        <x14:dataValidation type="list" allowBlank="1" showInputMessage="1" showErrorMessage="1">
          <x14:formula1>
            <xm:f>Colores!$H$1:$H$2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>
      <selection activeCell="L25" sqref="L25"/>
    </sheetView>
  </sheetViews>
  <sheetFormatPr baseColWidth="10" defaultColWidth="11.42578125" defaultRowHeight="12.75" x14ac:dyDescent="0.2"/>
  <sheetData>
    <row r="1" spans="2:10" x14ac:dyDescent="0.2">
      <c r="B1" s="1"/>
      <c r="C1" s="1" t="s">
        <v>13</v>
      </c>
      <c r="D1" s="1" t="s">
        <v>14</v>
      </c>
      <c r="E1" s="1"/>
      <c r="F1" s="1"/>
      <c r="G1" s="1"/>
      <c r="H1" s="1" t="s">
        <v>13</v>
      </c>
      <c r="J1" t="s">
        <v>13</v>
      </c>
    </row>
    <row r="2" spans="2:10" x14ac:dyDescent="0.2">
      <c r="B2" s="2" t="s">
        <v>43</v>
      </c>
      <c r="C2" s="1" t="s">
        <v>15</v>
      </c>
      <c r="D2" s="1" t="s">
        <v>16</v>
      </c>
      <c r="E2" s="1"/>
      <c r="F2" s="1"/>
      <c r="G2" s="1"/>
      <c r="H2" s="1" t="s">
        <v>14</v>
      </c>
      <c r="J2" t="s">
        <v>14</v>
      </c>
    </row>
    <row r="3" spans="2:10" x14ac:dyDescent="0.2">
      <c r="B3" s="2" t="s">
        <v>44</v>
      </c>
      <c r="C3" s="1" t="s">
        <v>17</v>
      </c>
      <c r="D3" s="1" t="s">
        <v>18</v>
      </c>
      <c r="E3" s="1"/>
      <c r="F3" s="1"/>
      <c r="G3" s="1"/>
      <c r="H3" s="1"/>
      <c r="J3" s="3" t="s">
        <v>82</v>
      </c>
    </row>
    <row r="4" spans="2:10" x14ac:dyDescent="0.2">
      <c r="B4" s="2" t="s">
        <v>19</v>
      </c>
      <c r="C4" s="1" t="s">
        <v>20</v>
      </c>
      <c r="D4" s="1" t="s">
        <v>21</v>
      </c>
      <c r="E4" s="1"/>
      <c r="F4" s="1"/>
      <c r="G4" s="1"/>
      <c r="H4" s="1"/>
    </row>
    <row r="5" spans="2:10" x14ac:dyDescent="0.2">
      <c r="B5" s="2" t="s">
        <v>22</v>
      </c>
      <c r="C5" s="1" t="s">
        <v>23</v>
      </c>
      <c r="D5" s="1" t="s">
        <v>23</v>
      </c>
      <c r="E5" s="1"/>
      <c r="F5" s="1"/>
      <c r="G5" s="1"/>
      <c r="H5" s="1"/>
    </row>
    <row r="6" spans="2:10" x14ac:dyDescent="0.2">
      <c r="B6" s="2" t="s">
        <v>41</v>
      </c>
      <c r="C6" s="1" t="s">
        <v>24</v>
      </c>
      <c r="D6" s="1" t="s">
        <v>24</v>
      </c>
      <c r="E6" s="1"/>
      <c r="F6" s="1"/>
      <c r="G6" s="1"/>
      <c r="H6" s="1"/>
    </row>
    <row r="7" spans="2:10" x14ac:dyDescent="0.2">
      <c r="B7" s="2" t="s">
        <v>115</v>
      </c>
      <c r="C7" s="5" t="s">
        <v>115</v>
      </c>
      <c r="D7" s="5" t="s">
        <v>115</v>
      </c>
      <c r="E7" s="1"/>
      <c r="F7" s="1"/>
      <c r="G7" s="1"/>
      <c r="H7" s="1"/>
    </row>
    <row r="8" spans="2:10" x14ac:dyDescent="0.2">
      <c r="B8" s="2" t="s">
        <v>42</v>
      </c>
      <c r="C8" s="1" t="s">
        <v>25</v>
      </c>
      <c r="D8" s="1" t="s">
        <v>26</v>
      </c>
      <c r="E8" s="1"/>
      <c r="F8" s="1"/>
      <c r="G8" s="1"/>
      <c r="H8" s="1"/>
    </row>
    <row r="9" spans="2:10" x14ac:dyDescent="0.2">
      <c r="B9" s="2" t="s">
        <v>27</v>
      </c>
      <c r="C9" s="1" t="s">
        <v>28</v>
      </c>
      <c r="D9" s="1" t="s">
        <v>28</v>
      </c>
      <c r="E9" s="1"/>
      <c r="F9" s="1"/>
      <c r="G9" s="1"/>
      <c r="H9" s="1"/>
    </row>
    <row r="10" spans="2:10" x14ac:dyDescent="0.2">
      <c r="B10" s="5" t="s">
        <v>117</v>
      </c>
      <c r="C10" s="5" t="s">
        <v>117</v>
      </c>
      <c r="D10" s="5" t="s">
        <v>117</v>
      </c>
      <c r="E10" s="1"/>
      <c r="F10" s="1"/>
      <c r="G10" s="1"/>
      <c r="H10" s="1"/>
    </row>
    <row r="11" spans="2:10" x14ac:dyDescent="0.2">
      <c r="B11" s="2" t="s">
        <v>118</v>
      </c>
      <c r="C11" s="2" t="s">
        <v>118</v>
      </c>
      <c r="D11" s="2" t="s">
        <v>118</v>
      </c>
      <c r="E11" s="1"/>
      <c r="F11" s="1"/>
      <c r="G11" s="1"/>
      <c r="H11" s="1"/>
    </row>
    <row r="12" spans="2:10" x14ac:dyDescent="0.2">
      <c r="B12" s="2" t="s">
        <v>119</v>
      </c>
      <c r="C12" s="4" t="s">
        <v>119</v>
      </c>
      <c r="D12" s="4" t="s">
        <v>119</v>
      </c>
      <c r="E12" s="1"/>
      <c r="F12" s="1"/>
      <c r="G12" s="1"/>
      <c r="H12" s="1"/>
    </row>
    <row r="13" spans="2:10" x14ac:dyDescent="0.2">
      <c r="B13" s="2" t="s">
        <v>9</v>
      </c>
      <c r="C13" s="2" t="s">
        <v>9</v>
      </c>
      <c r="D13" s="2" t="s">
        <v>9</v>
      </c>
      <c r="E13" s="1"/>
      <c r="F13" s="1"/>
      <c r="G13" s="1"/>
      <c r="H13" s="1"/>
    </row>
    <row r="14" spans="2:10" x14ac:dyDescent="0.2">
      <c r="B14" s="2" t="s">
        <v>2</v>
      </c>
      <c r="C14" s="2" t="s">
        <v>2</v>
      </c>
      <c r="D14" s="2" t="s">
        <v>2</v>
      </c>
      <c r="E14" s="1"/>
      <c r="F14" s="1"/>
      <c r="G14" s="1"/>
      <c r="H14" s="1"/>
    </row>
    <row r="15" spans="2:10" x14ac:dyDescent="0.2">
      <c r="B15" s="2" t="s">
        <v>3</v>
      </c>
      <c r="C15" s="2" t="s">
        <v>3</v>
      </c>
      <c r="D15" s="2" t="s">
        <v>3</v>
      </c>
      <c r="E15" s="1"/>
      <c r="F15" s="1"/>
      <c r="G15" s="1"/>
      <c r="H15" s="1"/>
    </row>
    <row r="16" spans="2:10" x14ac:dyDescent="0.2">
      <c r="B16" s="2" t="s">
        <v>4</v>
      </c>
      <c r="C16" s="2" t="s">
        <v>4</v>
      </c>
      <c r="D16" s="2" t="s">
        <v>4</v>
      </c>
      <c r="E16" s="1"/>
      <c r="F16" s="1"/>
      <c r="G16" s="1"/>
      <c r="H16" s="1"/>
    </row>
    <row r="17" spans="2:4" x14ac:dyDescent="0.2">
      <c r="B17" s="2" t="s">
        <v>5</v>
      </c>
      <c r="C17" s="2" t="s">
        <v>5</v>
      </c>
      <c r="D17" s="2" t="s">
        <v>5</v>
      </c>
    </row>
    <row r="18" spans="2:4" x14ac:dyDescent="0.2">
      <c r="B18" s="2" t="s">
        <v>6</v>
      </c>
      <c r="C18" s="2" t="s">
        <v>6</v>
      </c>
      <c r="D18" s="2" t="s">
        <v>6</v>
      </c>
    </row>
    <row r="19" spans="2:4" x14ac:dyDescent="0.2">
      <c r="B19" s="2" t="s">
        <v>121</v>
      </c>
      <c r="C19" s="2" t="s">
        <v>121</v>
      </c>
      <c r="D19" s="2" t="s">
        <v>121</v>
      </c>
    </row>
    <row r="20" spans="2:4" x14ac:dyDescent="0.2">
      <c r="B20" s="2" t="s">
        <v>31</v>
      </c>
      <c r="C20" s="1" t="s">
        <v>32</v>
      </c>
      <c r="D20" s="1" t="s">
        <v>32</v>
      </c>
    </row>
    <row r="21" spans="2:4" x14ac:dyDescent="0.2">
      <c r="B21" s="2" t="s">
        <v>33</v>
      </c>
      <c r="C21" s="1" t="s">
        <v>33</v>
      </c>
      <c r="D21" s="1" t="s">
        <v>33</v>
      </c>
    </row>
    <row r="22" spans="2:4" x14ac:dyDescent="0.2">
      <c r="B22" s="1" t="s">
        <v>34</v>
      </c>
      <c r="C22" s="1" t="s">
        <v>34</v>
      </c>
      <c r="D22" s="1" t="s">
        <v>34</v>
      </c>
    </row>
    <row r="23" spans="2:4" x14ac:dyDescent="0.2">
      <c r="B23" s="2" t="s">
        <v>116</v>
      </c>
      <c r="C23" s="2" t="s">
        <v>116</v>
      </c>
      <c r="D23" s="2" t="s">
        <v>116</v>
      </c>
    </row>
    <row r="24" spans="2:4" x14ac:dyDescent="0.2">
      <c r="B24" s="4" t="s">
        <v>57</v>
      </c>
      <c r="C24" s="3" t="s">
        <v>58</v>
      </c>
      <c r="D24" s="3" t="s">
        <v>59</v>
      </c>
    </row>
    <row r="25" spans="2:4" x14ac:dyDescent="0.2">
      <c r="B25" s="4" t="s">
        <v>122</v>
      </c>
      <c r="C25" s="4" t="s">
        <v>122</v>
      </c>
      <c r="D25" s="4" t="s">
        <v>122</v>
      </c>
    </row>
    <row r="26" spans="2:4" x14ac:dyDescent="0.2">
      <c r="B26" s="4" t="s">
        <v>123</v>
      </c>
      <c r="C26" s="4" t="s">
        <v>123</v>
      </c>
      <c r="D26" s="4" t="s">
        <v>123</v>
      </c>
    </row>
    <row r="27" spans="2:4" x14ac:dyDescent="0.2">
      <c r="B27" s="4" t="s">
        <v>124</v>
      </c>
      <c r="C27" s="4" t="s">
        <v>124</v>
      </c>
      <c r="D27" s="4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opLeftCell="A31" workbookViewId="0">
      <selection activeCell="A50" sqref="A50"/>
    </sheetView>
  </sheetViews>
  <sheetFormatPr baseColWidth="10" defaultColWidth="11.42578125" defaultRowHeight="12.75" x14ac:dyDescent="0.2"/>
  <cols>
    <col min="2" max="2" width="78.7109375" customWidth="1"/>
  </cols>
  <sheetData>
    <row r="1" spans="1:2" x14ac:dyDescent="0.2">
      <c r="A1" t="s">
        <v>105</v>
      </c>
      <c r="B1" t="s">
        <v>145</v>
      </c>
    </row>
    <row r="2" spans="1:2" x14ac:dyDescent="0.2">
      <c r="A2" t="s">
        <v>146</v>
      </c>
      <c r="B2" t="s">
        <v>147</v>
      </c>
    </row>
    <row r="3" spans="1:2" x14ac:dyDescent="0.2">
      <c r="A3" t="s">
        <v>109</v>
      </c>
      <c r="B3" t="s">
        <v>148</v>
      </c>
    </row>
    <row r="4" spans="1:2" x14ac:dyDescent="0.2">
      <c r="A4" t="s">
        <v>107</v>
      </c>
      <c r="B4" t="s">
        <v>149</v>
      </c>
    </row>
    <row r="5" spans="1:2" x14ac:dyDescent="0.2">
      <c r="A5" t="s">
        <v>108</v>
      </c>
      <c r="B5" t="s">
        <v>150</v>
      </c>
    </row>
    <row r="6" spans="1:2" x14ac:dyDescent="0.2">
      <c r="A6" t="s">
        <v>151</v>
      </c>
      <c r="B6" t="s">
        <v>152</v>
      </c>
    </row>
    <row r="7" spans="1:2" x14ac:dyDescent="0.2">
      <c r="A7" t="s">
        <v>153</v>
      </c>
      <c r="B7" t="s">
        <v>154</v>
      </c>
    </row>
    <row r="8" spans="1:2" x14ac:dyDescent="0.2">
      <c r="A8" t="s">
        <v>155</v>
      </c>
      <c r="B8" t="s">
        <v>156</v>
      </c>
    </row>
    <row r="9" spans="1:2" x14ac:dyDescent="0.2">
      <c r="A9" t="s">
        <v>158</v>
      </c>
      <c r="B9" t="s">
        <v>157</v>
      </c>
    </row>
    <row r="10" spans="1:2" x14ac:dyDescent="0.2">
      <c r="A10" t="s">
        <v>113</v>
      </c>
      <c r="B10" t="s">
        <v>160</v>
      </c>
    </row>
    <row r="11" spans="1:2" x14ac:dyDescent="0.2">
      <c r="A11" t="s">
        <v>159</v>
      </c>
      <c r="B11" t="s">
        <v>161</v>
      </c>
    </row>
    <row r="12" spans="1:2" x14ac:dyDescent="0.2">
      <c r="A12" t="s">
        <v>162</v>
      </c>
      <c r="B12" t="s">
        <v>163</v>
      </c>
    </row>
    <row r="13" spans="1:2" x14ac:dyDescent="0.2">
      <c r="A13" t="s">
        <v>110</v>
      </c>
      <c r="B13" t="s">
        <v>164</v>
      </c>
    </row>
    <row r="14" spans="1:2" x14ac:dyDescent="0.2">
      <c r="A14" t="s">
        <v>114</v>
      </c>
      <c r="B14" s="3" t="s">
        <v>165</v>
      </c>
    </row>
    <row r="15" spans="1:2" x14ac:dyDescent="0.2">
      <c r="A15" t="s">
        <v>112</v>
      </c>
      <c r="B15" t="s">
        <v>166</v>
      </c>
    </row>
    <row r="16" spans="1:2" x14ac:dyDescent="0.2">
      <c r="A16" t="s">
        <v>111</v>
      </c>
      <c r="B16" t="s">
        <v>167</v>
      </c>
    </row>
    <row r="17" spans="1:2" x14ac:dyDescent="0.2">
      <c r="A17" t="s">
        <v>168</v>
      </c>
      <c r="B17" t="s">
        <v>169</v>
      </c>
    </row>
    <row r="18" spans="1:2" x14ac:dyDescent="0.2">
      <c r="A18" t="s">
        <v>170</v>
      </c>
      <c r="B18" t="s">
        <v>171</v>
      </c>
    </row>
    <row r="19" spans="1:2" x14ac:dyDescent="0.2">
      <c r="A19" t="s">
        <v>172</v>
      </c>
      <c r="B19" t="s">
        <v>173</v>
      </c>
    </row>
    <row r="20" spans="1:2" x14ac:dyDescent="0.2">
      <c r="A20" t="s">
        <v>174</v>
      </c>
      <c r="B20" t="s">
        <v>175</v>
      </c>
    </row>
    <row r="21" spans="1:2" x14ac:dyDescent="0.2">
      <c r="A21" t="s">
        <v>176</v>
      </c>
      <c r="B21" t="s">
        <v>177</v>
      </c>
    </row>
    <row r="22" spans="1:2" x14ac:dyDescent="0.2">
      <c r="A22" t="s">
        <v>178</v>
      </c>
      <c r="B22" t="s">
        <v>179</v>
      </c>
    </row>
    <row r="23" spans="1:2" x14ac:dyDescent="0.2">
      <c r="A23" t="s">
        <v>180</v>
      </c>
      <c r="B23" t="s">
        <v>181</v>
      </c>
    </row>
    <row r="24" spans="1:2" x14ac:dyDescent="0.2">
      <c r="A24" t="s">
        <v>183</v>
      </c>
      <c r="B24" t="s">
        <v>182</v>
      </c>
    </row>
    <row r="25" spans="1:2" x14ac:dyDescent="0.2">
      <c r="A25" t="s">
        <v>44</v>
      </c>
      <c r="B25" t="s">
        <v>184</v>
      </c>
    </row>
    <row r="26" spans="1:2" x14ac:dyDescent="0.2">
      <c r="A26" s="3" t="s">
        <v>43</v>
      </c>
      <c r="B26" t="s">
        <v>185</v>
      </c>
    </row>
    <row r="27" spans="1:2" x14ac:dyDescent="0.2">
      <c r="A27" t="s">
        <v>57</v>
      </c>
      <c r="B27" t="s">
        <v>186</v>
      </c>
    </row>
    <row r="28" spans="1:2" x14ac:dyDescent="0.2">
      <c r="A28" t="s">
        <v>2</v>
      </c>
      <c r="B28" t="s">
        <v>187</v>
      </c>
    </row>
    <row r="29" spans="1:2" x14ac:dyDescent="0.2">
      <c r="A29" t="s">
        <v>125</v>
      </c>
      <c r="B29" t="s">
        <v>188</v>
      </c>
    </row>
    <row r="30" spans="1:2" x14ac:dyDescent="0.2">
      <c r="A30" t="s">
        <v>137</v>
      </c>
      <c r="B30" t="s">
        <v>189</v>
      </c>
    </row>
    <row r="31" spans="1:2" x14ac:dyDescent="0.2">
      <c r="A31" s="3" t="s">
        <v>136</v>
      </c>
      <c r="B31" s="3" t="s">
        <v>190</v>
      </c>
    </row>
    <row r="32" spans="1:2" x14ac:dyDescent="0.2">
      <c r="A32" t="s">
        <v>22</v>
      </c>
      <c r="B32" t="s">
        <v>191</v>
      </c>
    </row>
    <row r="33" spans="1:2" x14ac:dyDescent="0.2">
      <c r="A33" t="s">
        <v>41</v>
      </c>
      <c r="B33" t="s">
        <v>192</v>
      </c>
    </row>
    <row r="34" spans="1:2" x14ac:dyDescent="0.2">
      <c r="A34" t="s">
        <v>9</v>
      </c>
      <c r="B34" t="s">
        <v>193</v>
      </c>
    </row>
    <row r="35" spans="1:2" x14ac:dyDescent="0.2">
      <c r="A35" t="s">
        <v>138</v>
      </c>
      <c r="B35" t="s">
        <v>194</v>
      </c>
    </row>
    <row r="36" spans="1:2" x14ac:dyDescent="0.2">
      <c r="A36" t="s">
        <v>3</v>
      </c>
      <c r="B36" t="s">
        <v>3</v>
      </c>
    </row>
    <row r="37" spans="1:2" x14ac:dyDescent="0.2">
      <c r="A37" t="s">
        <v>30</v>
      </c>
      <c r="B37" t="s">
        <v>195</v>
      </c>
    </row>
    <row r="38" spans="1:2" x14ac:dyDescent="0.2">
      <c r="A38" t="s">
        <v>115</v>
      </c>
      <c r="B38" t="s">
        <v>196</v>
      </c>
    </row>
    <row r="39" spans="1:2" x14ac:dyDescent="0.2">
      <c r="A39" t="s">
        <v>33</v>
      </c>
      <c r="B39" t="s">
        <v>197</v>
      </c>
    </row>
    <row r="40" spans="1:2" x14ac:dyDescent="0.2">
      <c r="A40" t="s">
        <v>198</v>
      </c>
      <c r="B40" t="s">
        <v>199</v>
      </c>
    </row>
    <row r="41" spans="1:2" x14ac:dyDescent="0.2">
      <c r="A41" t="s">
        <v>19</v>
      </c>
      <c r="B41" t="s">
        <v>200</v>
      </c>
    </row>
    <row r="42" spans="1:2" x14ac:dyDescent="0.2">
      <c r="A42" t="s">
        <v>31</v>
      </c>
      <c r="B42" t="s">
        <v>201</v>
      </c>
    </row>
    <row r="43" spans="1:2" x14ac:dyDescent="0.2">
      <c r="A43" t="s">
        <v>27</v>
      </c>
      <c r="B43" t="s">
        <v>202</v>
      </c>
    </row>
    <row r="44" spans="1:2" x14ac:dyDescent="0.2">
      <c r="A44" t="s">
        <v>203</v>
      </c>
      <c r="B44" t="s">
        <v>204</v>
      </c>
    </row>
    <row r="45" spans="1:2" x14ac:dyDescent="0.2">
      <c r="A45" t="s">
        <v>29</v>
      </c>
      <c r="B45" t="s">
        <v>205</v>
      </c>
    </row>
    <row r="46" spans="1:2" x14ac:dyDescent="0.2">
      <c r="A46" t="s">
        <v>123</v>
      </c>
      <c r="B46" t="s">
        <v>206</v>
      </c>
    </row>
    <row r="47" spans="1:2" x14ac:dyDescent="0.2">
      <c r="A47" t="s">
        <v>124</v>
      </c>
      <c r="B47" t="s">
        <v>207</v>
      </c>
    </row>
    <row r="48" spans="1:2" x14ac:dyDescent="0.2">
      <c r="A48" t="s">
        <v>122</v>
      </c>
      <c r="B48" t="s">
        <v>208</v>
      </c>
    </row>
    <row r="49" spans="1:2" x14ac:dyDescent="0.2">
      <c r="A49" t="s">
        <v>209</v>
      </c>
      <c r="B49" t="s">
        <v>211</v>
      </c>
    </row>
    <row r="50" spans="1:2" x14ac:dyDescent="0.2">
      <c r="A50" t="s">
        <v>121</v>
      </c>
      <c r="B50" t="s">
        <v>210</v>
      </c>
    </row>
    <row r="51" spans="1:2" s="3" customFormat="1" x14ac:dyDescent="0.2">
      <c r="A51" s="3" t="s">
        <v>117</v>
      </c>
      <c r="B51" s="3" t="s">
        <v>254</v>
      </c>
    </row>
    <row r="52" spans="1:2" s="3" customFormat="1" x14ac:dyDescent="0.2">
      <c r="A52" s="3" t="s">
        <v>118</v>
      </c>
      <c r="B52" s="3" t="s">
        <v>255</v>
      </c>
    </row>
    <row r="53" spans="1:2" s="3" customFormat="1" x14ac:dyDescent="0.2">
      <c r="A53" s="3" t="s">
        <v>119</v>
      </c>
      <c r="B53" s="54" t="s">
        <v>257</v>
      </c>
    </row>
    <row r="54" spans="1:2" s="3" customFormat="1" x14ac:dyDescent="0.2">
      <c r="A54" s="3" t="s">
        <v>116</v>
      </c>
      <c r="B54" s="54" t="s">
        <v>256</v>
      </c>
    </row>
    <row r="55" spans="1:2" x14ac:dyDescent="0.2">
      <c r="A55">
        <v>378338</v>
      </c>
      <c r="B55" t="s">
        <v>212</v>
      </c>
    </row>
    <row r="56" spans="1:2" x14ac:dyDescent="0.2">
      <c r="A56">
        <v>783171</v>
      </c>
      <c r="B56" t="s">
        <v>213</v>
      </c>
    </row>
    <row r="57" spans="1:2" x14ac:dyDescent="0.2">
      <c r="A57">
        <v>783173</v>
      </c>
      <c r="B57" t="s">
        <v>214</v>
      </c>
    </row>
    <row r="58" spans="1:2" x14ac:dyDescent="0.2">
      <c r="A58">
        <v>331012</v>
      </c>
      <c r="B58" t="s">
        <v>215</v>
      </c>
    </row>
    <row r="59" spans="1:2" x14ac:dyDescent="0.2">
      <c r="A59">
        <v>331013</v>
      </c>
      <c r="B59" t="s">
        <v>215</v>
      </c>
    </row>
    <row r="60" spans="1:2" x14ac:dyDescent="0.2">
      <c r="A60">
        <v>221772</v>
      </c>
      <c r="B60" t="s">
        <v>216</v>
      </c>
    </row>
    <row r="61" spans="1:2" x14ac:dyDescent="0.2">
      <c r="A61">
        <v>212765</v>
      </c>
      <c r="B61" t="s">
        <v>217</v>
      </c>
    </row>
    <row r="62" spans="1:2" x14ac:dyDescent="0.2">
      <c r="A62" t="s">
        <v>218</v>
      </c>
      <c r="B62" t="s">
        <v>219</v>
      </c>
    </row>
    <row r="63" spans="1:2" x14ac:dyDescent="0.2">
      <c r="A63" t="s">
        <v>220</v>
      </c>
      <c r="B63" t="s">
        <v>221</v>
      </c>
    </row>
    <row r="64" spans="1:2" x14ac:dyDescent="0.2">
      <c r="A64">
        <v>783172</v>
      </c>
      <c r="B64" t="s">
        <v>222</v>
      </c>
    </row>
    <row r="65" spans="1:2" x14ac:dyDescent="0.2">
      <c r="A65">
        <v>791780</v>
      </c>
      <c r="B65" t="s">
        <v>223</v>
      </c>
    </row>
    <row r="66" spans="1:2" x14ac:dyDescent="0.2">
      <c r="A66" s="3">
        <v>791781</v>
      </c>
      <c r="B66" s="3" t="s">
        <v>224</v>
      </c>
    </row>
    <row r="67" spans="1:2" x14ac:dyDescent="0.2">
      <c r="A67" s="3">
        <v>791782</v>
      </c>
      <c r="B67" s="3" t="s">
        <v>225</v>
      </c>
    </row>
    <row r="68" spans="1:2" x14ac:dyDescent="0.2">
      <c r="A68">
        <v>317250</v>
      </c>
      <c r="B68" t="s">
        <v>226</v>
      </c>
    </row>
    <row r="69" spans="1:2" x14ac:dyDescent="0.2">
      <c r="A69">
        <v>335555</v>
      </c>
      <c r="B69" t="s">
        <v>227</v>
      </c>
    </row>
    <row r="70" spans="1:2" x14ac:dyDescent="0.2">
      <c r="A70">
        <v>628482</v>
      </c>
      <c r="B70" t="s">
        <v>228</v>
      </c>
    </row>
    <row r="71" spans="1:2" x14ac:dyDescent="0.2">
      <c r="A71">
        <v>628483</v>
      </c>
      <c r="B71" s="3" t="s">
        <v>229</v>
      </c>
    </row>
    <row r="72" spans="1:2" x14ac:dyDescent="0.2">
      <c r="A72">
        <v>628484</v>
      </c>
      <c r="B72" s="3" t="s">
        <v>230</v>
      </c>
    </row>
    <row r="73" spans="1:2" x14ac:dyDescent="0.2">
      <c r="A73">
        <v>628495</v>
      </c>
      <c r="B73" s="3" t="s">
        <v>231</v>
      </c>
    </row>
    <row r="74" spans="1:2" x14ac:dyDescent="0.2">
      <c r="A74">
        <v>628496</v>
      </c>
      <c r="B74" s="3" t="s">
        <v>232</v>
      </c>
    </row>
    <row r="75" spans="1:2" x14ac:dyDescent="0.2">
      <c r="A75" s="3">
        <v>628497</v>
      </c>
      <c r="B75" s="3" t="s">
        <v>233</v>
      </c>
    </row>
    <row r="76" spans="1:2" x14ac:dyDescent="0.2">
      <c r="A76" s="3">
        <v>628498</v>
      </c>
      <c r="B76" s="3" t="s">
        <v>234</v>
      </c>
    </row>
    <row r="77" spans="1:2" x14ac:dyDescent="0.2">
      <c r="A77">
        <v>765293</v>
      </c>
      <c r="B77" t="s">
        <v>85</v>
      </c>
    </row>
    <row r="78" spans="1:2" x14ac:dyDescent="0.2">
      <c r="A78">
        <v>773140</v>
      </c>
      <c r="B78" t="s">
        <v>235</v>
      </c>
    </row>
    <row r="79" spans="1:2" x14ac:dyDescent="0.2">
      <c r="A79">
        <v>772358</v>
      </c>
      <c r="B79" s="3" t="s">
        <v>236</v>
      </c>
    </row>
    <row r="80" spans="1:2" x14ac:dyDescent="0.2">
      <c r="A80">
        <v>228728</v>
      </c>
      <c r="B80" s="3" t="s">
        <v>237</v>
      </c>
    </row>
    <row r="81" spans="1:2" x14ac:dyDescent="0.2">
      <c r="A81">
        <v>637960</v>
      </c>
      <c r="B81" s="3" t="s">
        <v>241</v>
      </c>
    </row>
    <row r="82" spans="1:2" x14ac:dyDescent="0.2">
      <c r="A82">
        <v>637961</v>
      </c>
      <c r="B82" s="3" t="s">
        <v>242</v>
      </c>
    </row>
    <row r="83" spans="1:2" x14ac:dyDescent="0.2">
      <c r="A83">
        <v>643644</v>
      </c>
      <c r="B83" s="3" t="s">
        <v>243</v>
      </c>
    </row>
    <row r="84" spans="1:2" x14ac:dyDescent="0.2">
      <c r="A84">
        <v>738919</v>
      </c>
      <c r="B84" s="3" t="s">
        <v>238</v>
      </c>
    </row>
    <row r="85" spans="1:2" x14ac:dyDescent="0.2">
      <c r="A85">
        <v>603666</v>
      </c>
      <c r="B85" s="3" t="s">
        <v>240</v>
      </c>
    </row>
    <row r="86" spans="1:2" x14ac:dyDescent="0.2">
      <c r="A86">
        <v>738921</v>
      </c>
      <c r="B86" s="3" t="s">
        <v>239</v>
      </c>
    </row>
    <row r="87" spans="1:2" x14ac:dyDescent="0.2">
      <c r="A87">
        <v>738965</v>
      </c>
      <c r="B87" s="3" t="s">
        <v>244</v>
      </c>
    </row>
    <row r="88" spans="1:2" x14ac:dyDescent="0.2">
      <c r="A88">
        <v>227868</v>
      </c>
      <c r="B88" s="3" t="s">
        <v>245</v>
      </c>
    </row>
    <row r="89" spans="1:2" x14ac:dyDescent="0.2">
      <c r="A89">
        <v>738967</v>
      </c>
      <c r="B89" s="3" t="s">
        <v>246</v>
      </c>
    </row>
    <row r="90" spans="1:2" x14ac:dyDescent="0.2">
      <c r="A90">
        <v>615951</v>
      </c>
      <c r="B90" t="s">
        <v>247</v>
      </c>
    </row>
    <row r="91" spans="1:2" x14ac:dyDescent="0.2">
      <c r="A91">
        <v>642371</v>
      </c>
      <c r="B91" t="s">
        <v>248</v>
      </c>
    </row>
    <row r="92" spans="1:2" x14ac:dyDescent="0.2">
      <c r="A92">
        <v>297218</v>
      </c>
      <c r="B92" t="s">
        <v>249</v>
      </c>
    </row>
    <row r="93" spans="1:2" x14ac:dyDescent="0.2">
      <c r="A93">
        <v>478413</v>
      </c>
      <c r="B93" t="s">
        <v>86</v>
      </c>
    </row>
    <row r="94" spans="1:2" x14ac:dyDescent="0.2">
      <c r="A94" t="s">
        <v>102</v>
      </c>
      <c r="B94" t="s">
        <v>250</v>
      </c>
    </row>
    <row r="95" spans="1:2" x14ac:dyDescent="0.2">
      <c r="A95">
        <v>335555</v>
      </c>
      <c r="B95" t="s">
        <v>251</v>
      </c>
    </row>
    <row r="96" spans="1:2" x14ac:dyDescent="0.2">
      <c r="A96">
        <v>317250</v>
      </c>
      <c r="B96" s="3" t="s">
        <v>252</v>
      </c>
    </row>
    <row r="97" spans="1:2" x14ac:dyDescent="0.2">
      <c r="A97">
        <v>640068</v>
      </c>
      <c r="B97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26</vt:i4>
      </vt:variant>
    </vt:vector>
  </HeadingPairs>
  <TitlesOfParts>
    <vt:vector size="30" baseType="lpstr">
      <vt:lpstr>Elevadora</vt:lpstr>
      <vt:lpstr>Corredera</vt:lpstr>
      <vt:lpstr>Colores</vt:lpstr>
      <vt:lpstr>Descripciones</vt:lpstr>
      <vt:lpstr>Corredera!ESQUEMA_A</vt:lpstr>
      <vt:lpstr>ESQUEMA_A</vt:lpstr>
      <vt:lpstr>Corredera!ESQUEMA_C</vt:lpstr>
      <vt:lpstr>ESQUEMA_C</vt:lpstr>
      <vt:lpstr>Corredera!ESQUEMA_D</vt:lpstr>
      <vt:lpstr>ESQUEMA_D</vt:lpstr>
      <vt:lpstr>Corredera!ESQUEMA_F</vt:lpstr>
      <vt:lpstr>ESQUEMA_F</vt:lpstr>
      <vt:lpstr>Corredera!ESQUEMA_H</vt:lpstr>
      <vt:lpstr>ESQUEMA_H</vt:lpstr>
      <vt:lpstr>Corredera!ESQUEMA_J</vt:lpstr>
      <vt:lpstr>ESQUEMA_J</vt:lpstr>
      <vt:lpstr>Corredera!ESQUEMA_K</vt:lpstr>
      <vt:lpstr>ESQUEMA_K</vt:lpstr>
      <vt:lpstr>Corredera!ESQUEMA_L</vt:lpstr>
      <vt:lpstr>ESQUEMA_L</vt:lpstr>
      <vt:lpstr>Corredera!ESQUEMA_M</vt:lpstr>
      <vt:lpstr>ESQUEMA_M</vt:lpstr>
      <vt:lpstr>Corredera!FH</vt:lpstr>
      <vt:lpstr>FH</vt:lpstr>
      <vt:lpstr>Corredera!FW</vt:lpstr>
      <vt:lpstr>FW</vt:lpstr>
      <vt:lpstr>Corredera!SH</vt:lpstr>
      <vt:lpstr>SH</vt:lpstr>
      <vt:lpstr>Corredera!SW</vt:lpstr>
      <vt:lpstr>SW</vt:lpstr>
    </vt:vector>
  </TitlesOfParts>
  <Company>Roto Frank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Alcario</dc:creator>
  <cp:lastModifiedBy>Jose Maria Alcario</cp:lastModifiedBy>
  <dcterms:created xsi:type="dcterms:W3CDTF">2017-07-17T08:20:28Z</dcterms:created>
  <dcterms:modified xsi:type="dcterms:W3CDTF">2018-02-21T12:08:10Z</dcterms:modified>
</cp:coreProperties>
</file>